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mpte.cas.pm.gouv.fr\cperuyero$\.profil\.desktop\"/>
    </mc:Choice>
  </mc:AlternateContent>
  <bookViews>
    <workbookView xWindow="0" yWindow="0" windowWidth="25200" windowHeight="12240" firstSheet="1" activeTab="2"/>
  </bookViews>
  <sheets>
    <sheet name="Schéma 1  " sheetId="32" r:id="rId1"/>
    <sheet name="Schéma 2" sheetId="55" r:id="rId2"/>
    <sheet name=" G2" sheetId="36" r:id="rId3"/>
    <sheet name="  G3 " sheetId="37" r:id="rId4"/>
    <sheet name=" T1" sheetId="53" r:id="rId5"/>
    <sheet name=" T2" sheetId="52" r:id="rId6"/>
    <sheet name=" T3 " sheetId="39" r:id="rId7"/>
    <sheet name=" G4 " sheetId="40" r:id="rId8"/>
    <sheet name="G5" sheetId="41" r:id="rId9"/>
    <sheet name=" G6" sheetId="43" r:id="rId10"/>
    <sheet name=" G7" sheetId="44" r:id="rId11"/>
    <sheet name=" T4" sheetId="45" r:id="rId12"/>
    <sheet name="T5" sheetId="54" r:id="rId13"/>
    <sheet name="T6" sheetId="42" r:id="rId14"/>
    <sheet name=" G8" sheetId="46" r:id="rId15"/>
    <sheet name="Annexe E1" sheetId="49" r:id="rId1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7" i="36" l="1"/>
  <c r="W18" i="36"/>
  <c r="T18" i="36"/>
  <c r="T17" i="36"/>
  <c r="R18" i="36"/>
  <c r="R17" i="36"/>
  <c r="Y18" i="36"/>
  <c r="Y17" i="36"/>
  <c r="U18" i="36"/>
  <c r="V17" i="36"/>
  <c r="V18" i="36"/>
  <c r="X18" i="36"/>
  <c r="X17" i="36"/>
  <c r="U17" i="36"/>
  <c r="S18" i="36"/>
  <c r="S17" i="36"/>
  <c r="U20" i="44" l="1"/>
  <c r="T20" i="44"/>
  <c r="G14" i="52"/>
  <c r="G15" i="52"/>
  <c r="G16" i="52"/>
  <c r="J20" i="45" l="1"/>
  <c r="I20" i="45"/>
  <c r="H20" i="45"/>
  <c r="G20" i="45"/>
  <c r="F20" i="45"/>
  <c r="I19" i="45"/>
  <c r="G19" i="45"/>
  <c r="F19" i="45"/>
  <c r="J17" i="45"/>
  <c r="I17" i="45"/>
  <c r="H17" i="45"/>
  <c r="G17" i="45"/>
  <c r="F17" i="45"/>
  <c r="H16" i="45"/>
  <c r="G16" i="45"/>
  <c r="F16" i="45"/>
  <c r="J14" i="45"/>
  <c r="I14" i="45"/>
  <c r="H14" i="45"/>
  <c r="G14" i="45"/>
  <c r="F14" i="45"/>
  <c r="J13" i="45"/>
  <c r="I13" i="45"/>
  <c r="H13" i="45"/>
  <c r="G13" i="45"/>
  <c r="F13" i="45"/>
  <c r="W20" i="44"/>
  <c r="V20" i="44"/>
  <c r="S20" i="44"/>
  <c r="V19" i="44"/>
  <c r="T19" i="44"/>
  <c r="S19" i="44"/>
  <c r="W17" i="44"/>
  <c r="V17" i="44"/>
  <c r="U17" i="44"/>
  <c r="T17" i="44"/>
  <c r="S17" i="44"/>
  <c r="U16" i="44"/>
  <c r="T16" i="44"/>
  <c r="S16" i="44"/>
  <c r="W14" i="44"/>
  <c r="V14" i="44"/>
  <c r="U14" i="44"/>
  <c r="T14" i="44"/>
  <c r="S14" i="44"/>
  <c r="W13" i="44"/>
  <c r="V13" i="44"/>
  <c r="U13" i="44"/>
  <c r="T13" i="44"/>
  <c r="S13" i="44"/>
  <c r="Z18" i="43"/>
  <c r="Y18" i="43"/>
  <c r="X18" i="43"/>
  <c r="W18" i="43"/>
  <c r="V18" i="43"/>
  <c r="U18" i="43"/>
  <c r="T18" i="43"/>
  <c r="S18" i="43"/>
  <c r="Z17" i="43"/>
  <c r="Y17" i="43"/>
  <c r="X17" i="43"/>
  <c r="W17" i="43"/>
  <c r="V17" i="43"/>
  <c r="U17" i="43"/>
  <c r="T17" i="43"/>
  <c r="S17" i="43"/>
</calcChain>
</file>

<file path=xl/sharedStrings.xml><?xml version="1.0" encoding="utf-8"?>
<sst xmlns="http://schemas.openxmlformats.org/spreadsheetml/2006/main" count="392" uniqueCount="208">
  <si>
    <t>Diplômé du supérieur</t>
  </si>
  <si>
    <t>Baccalauréat général/technologique/professionnel, CAP/BEP</t>
  </si>
  <si>
    <t>Peu ou pas diplômé</t>
  </si>
  <si>
    <t>Ensemble</t>
  </si>
  <si>
    <t>Vit dans le DROM de naissance de sa mère</t>
  </si>
  <si>
    <t>Vit dans l'Hexagone ou dans un autre DROM</t>
  </si>
  <si>
    <t>n</t>
  </si>
  <si>
    <t>Employés</t>
  </si>
  <si>
    <t>Ouvriers</t>
  </si>
  <si>
    <t>Dominante Employé/Ouvrier avec Inactif ou 1 seul parent</t>
  </si>
  <si>
    <t>Dominante Employé/Ouvrier</t>
  </si>
  <si>
    <t>Dominante Cadre/Intermédiaire</t>
  </si>
  <si>
    <t>Modalités actives</t>
  </si>
  <si>
    <t>Odds-Ratio</t>
  </si>
  <si>
    <t>La Réunion</t>
  </si>
  <si>
    <r>
      <t>Variable (</t>
    </r>
    <r>
      <rPr>
        <i/>
        <sz val="11"/>
        <color rgb="FF000000"/>
        <rFont val="Calibri"/>
        <family val="2"/>
        <scheme val="minor"/>
      </rPr>
      <t>Catégorie de référence</t>
    </r>
    <r>
      <rPr>
        <sz val="11"/>
        <color rgb="FF000000"/>
        <rFont val="Calibri"/>
        <family val="2"/>
        <scheme val="minor"/>
      </rPr>
      <t>)</t>
    </r>
  </si>
  <si>
    <t>Antilles</t>
  </si>
  <si>
    <t>Natif de retour</t>
  </si>
  <si>
    <t>Sédentaires</t>
  </si>
  <si>
    <t>Diplôme du supérieur</t>
  </si>
  <si>
    <t>0,06***</t>
  </si>
  <si>
    <t>Catégorie</t>
  </si>
  <si>
    <t>Catégorie sociale du jeune</t>
  </si>
  <si>
    <t>Catégorie sociale d'origine</t>
  </si>
  <si>
    <t>Dans les DROM (Antilles et La Réunion)</t>
  </si>
  <si>
    <t>Écarts en points</t>
  </si>
  <si>
    <t>Naissance</t>
  </si>
  <si>
    <t>Cadre</t>
  </si>
  <si>
    <t>Emploi</t>
  </si>
  <si>
    <t>Écart brut (1)</t>
  </si>
  <si>
    <t>Écart à même origine sociale (2)</t>
  </si>
  <si>
    <t xml:space="preserve">Écart brut (3) </t>
  </si>
  <si>
    <t>Écart à même origine sociale (4)</t>
  </si>
  <si>
    <t>Écart à même origine sociale et même niveau de diplôme (5)</t>
  </si>
  <si>
    <t>Écart brut (6)</t>
  </si>
  <si>
    <t>Écart à même origine sociale (7)</t>
  </si>
  <si>
    <t xml:space="preserve">Écart à même origine sociale et même niveau de diplôme (8) </t>
  </si>
  <si>
    <t>Reunion</t>
  </si>
  <si>
    <t>Référence</t>
  </si>
  <si>
    <t>nés DROM (1)</t>
  </si>
  <si>
    <t>nés DROM (3)</t>
  </si>
  <si>
    <t>nés DROM (5)</t>
  </si>
  <si>
    <t>Favorisé versus intermédiaire</t>
  </si>
  <si>
    <t xml:space="preserve">Favorisé versus modeste </t>
  </si>
  <si>
    <t xml:space="preserve">Intermédiaire versus modeste </t>
  </si>
  <si>
    <t>Dont en IDF</t>
  </si>
  <si>
    <t>Réside dans un DROM</t>
  </si>
  <si>
    <t>Dont de retour</t>
  </si>
  <si>
    <t>Intermédiaire</t>
  </si>
  <si>
    <t>Femme</t>
  </si>
  <si>
    <t xml:space="preserve">de retour </t>
  </si>
  <si>
    <t>Homme</t>
  </si>
  <si>
    <t>Résidence</t>
  </si>
  <si>
    <t>Écart brut (3)</t>
  </si>
  <si>
    <t xml:space="preserve">Écart à même origine sociale (4) </t>
  </si>
  <si>
    <t>DROM</t>
  </si>
  <si>
    <r>
      <rPr>
        <b/>
        <sz val="9"/>
        <color theme="1"/>
        <rFont val="Calibri"/>
        <family val="2"/>
        <scheme val="minor"/>
      </rPr>
      <t>Note 3</t>
    </r>
    <r>
      <rPr>
        <sz val="9"/>
        <color theme="1"/>
        <rFont val="Calibri"/>
        <family val="2"/>
        <scheme val="minor"/>
      </rPr>
      <t> : *** = significatif au seuil de 1% ; ** = significatif au seuil de 5% ; * = significatif au seuil de 10%.</t>
    </r>
  </si>
  <si>
    <t xml:space="preserve">Naissance </t>
  </si>
  <si>
    <t xml:space="preserve">Résidence </t>
  </si>
  <si>
    <t>Écart brut (2)</t>
  </si>
  <si>
    <t xml:space="preserve">Métropole </t>
  </si>
  <si>
    <t>Métropole (référence)</t>
  </si>
  <si>
    <t>Lieu de naissance</t>
  </si>
  <si>
    <t>la réunion</t>
  </si>
  <si>
    <t>antilles</t>
  </si>
  <si>
    <t>probabilité d'être cadre</t>
  </si>
  <si>
    <t>probabilité d'être en emploi</t>
  </si>
  <si>
    <t>probabilité d'être diplômé du supérieur</t>
  </si>
  <si>
    <t>natifs d'un drom</t>
  </si>
  <si>
    <t>Favorisé</t>
  </si>
  <si>
    <t>modeste</t>
  </si>
  <si>
    <t>intermédiaire</t>
  </si>
  <si>
    <t>homme</t>
  </si>
  <si>
    <t>né dans un drom, réside dans un drom</t>
  </si>
  <si>
    <t>taux de cadre</t>
  </si>
  <si>
    <t xml:space="preserve">taux d'emploi </t>
  </si>
  <si>
    <t>taux de diplômé du supérieur</t>
  </si>
  <si>
    <t>Ecart à origine sociale et niveau de diplôme (5)</t>
  </si>
  <si>
    <t>Ecart à origine sociale et niveau de diplôme (8)</t>
  </si>
  <si>
    <t>taux d'emploi</t>
  </si>
  <si>
    <r>
      <t xml:space="preserve">Lieu de </t>
    </r>
    <r>
      <rPr>
        <b/>
        <sz val="12"/>
        <color theme="1"/>
        <rFont val="Calibri (Corps)"/>
      </rPr>
      <t>r</t>
    </r>
    <r>
      <rPr>
        <b/>
        <sz val="12"/>
        <color theme="1"/>
        <rFont val="Calibri"/>
        <family val="2"/>
        <scheme val="minor"/>
      </rPr>
      <t>ésidence</t>
    </r>
  </si>
  <si>
    <r>
      <t>Origine sociale combinée niveau de diplôme de l'individu                         (</t>
    </r>
    <r>
      <rPr>
        <i/>
        <sz val="11"/>
        <color rgb="FF000000"/>
        <rFont val="Calibri"/>
        <family val="2"/>
        <scheme val="minor"/>
      </rPr>
      <t>Origine Favorable Diplôme Bac ou +</t>
    </r>
    <r>
      <rPr>
        <sz val="11"/>
        <color rgb="FF000000"/>
        <rFont val="Calibri"/>
        <family val="2"/>
        <scheme val="minor"/>
      </rPr>
      <t>)</t>
    </r>
  </si>
  <si>
    <t>Origine Favorable Diplôme BEP/CAP ou -</t>
  </si>
  <si>
    <t>0,07***</t>
  </si>
  <si>
    <t>Origine plutôt Défavorable Diplôme Bac ou +</t>
  </si>
  <si>
    <t>0,41***</t>
  </si>
  <si>
    <t>Origine plutôt Défavorable Diplôme BEP/CAP ou -</t>
  </si>
  <si>
    <r>
      <t>Sexe (</t>
    </r>
    <r>
      <rPr>
        <i/>
        <sz val="11"/>
        <color rgb="FF000000"/>
        <rFont val="Calibri"/>
        <family val="2"/>
        <scheme val="minor"/>
      </rPr>
      <t>Homme</t>
    </r>
    <r>
      <rPr>
        <sz val="11"/>
        <color rgb="FF000000"/>
        <rFont val="Calibri"/>
        <family val="2"/>
        <scheme val="minor"/>
      </rPr>
      <t>)</t>
    </r>
  </si>
  <si>
    <r>
      <t>Rapport à la migration                                  (</t>
    </r>
    <r>
      <rPr>
        <i/>
        <sz val="11"/>
        <color rgb="FF000000"/>
        <rFont val="Calibri"/>
        <family val="2"/>
        <scheme val="minor"/>
      </rPr>
      <t>Natifs de retour)</t>
    </r>
  </si>
  <si>
    <t>Natif n'ayant jamais quitté le DROM ou moins de 6 mois</t>
  </si>
  <si>
    <t>0,53**</t>
  </si>
  <si>
    <r>
      <t>Territoire (</t>
    </r>
    <r>
      <rPr>
        <i/>
        <sz val="11"/>
        <color rgb="FF000000"/>
        <rFont val="Calibri"/>
        <family val="2"/>
        <scheme val="minor"/>
      </rPr>
      <t>Antilles</t>
    </r>
    <r>
      <rPr>
        <sz val="11"/>
        <color rgb="FF000000"/>
        <rFont val="Calibri"/>
        <family val="2"/>
        <scheme val="minor"/>
      </rPr>
      <t>)</t>
    </r>
  </si>
  <si>
    <t xml:space="preserve">Hexagone </t>
  </si>
  <si>
    <t>Tableau x - Potentiel de position élevée sociale selon le lieu de naissance (en points de pourcentage)</t>
  </si>
  <si>
    <t>Hexagone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</si>
  <si>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jeunes de moins de 36 ans, nés en France et sortis de formation initiale depuis 5 à 10 ans 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</si>
  <si>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la probabilité d'être diplômé du supérieur sont mesurés à origine sociale, sexe, âge et année d’enquête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</si>
  <si>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la probabilité d'être cadre ou d'être en emploi sont mesurés à origine sociale, niveau de diplôme, sexe, âge et année d’enquête comparables.</t>
    </r>
  </si>
  <si>
    <r>
      <t>Note 3</t>
    </r>
    <r>
      <rPr>
        <sz val="9"/>
        <color rgb="FF000000"/>
        <rFont val="Calibri"/>
        <family val="2"/>
        <scheme val="minor"/>
      </rPr>
      <t> : *** = significatif au seuil de 1% ; ** = significatif au seuil de 5% ; * = significatif au seuil de 10%</t>
    </r>
  </si>
  <si>
    <t>natifs de l'hexagone</t>
  </si>
  <si>
    <r>
      <t xml:space="preserve">Tableau x : </t>
    </r>
    <r>
      <rPr>
        <sz val="11"/>
        <color theme="1"/>
        <rFont val="Calibri"/>
        <family val="2"/>
        <scheme val="minor"/>
      </rPr>
      <t>potentiel de position sociale élevée selon l'origine sociale au sein des natifs des DROM et au sein des natifs de la métropole (risque relatif)</t>
    </r>
  </si>
  <si>
    <t>Graphique 3  - Potentiel de position sociale élevée des jeunes d'origine favorisée versus d'origine modeste parmi les natifs des Drom et parmi les natifs de l’Hexagone (risque relatif)</t>
  </si>
  <si>
    <t>nés hexagone (2)</t>
  </si>
  <si>
    <t>nés hexagone (4)</t>
  </si>
  <si>
    <t>nés hexagone (6)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</si>
  <si>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parmi les natifs d'un Drom, un jeune de catégorie favorisée a 3 fois plus de chances qu’un individu de catégorie modeste d’être diplômé du supérieur. 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</si>
  <si>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sont mesurés à sexe, âge  et année d’observation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</si>
  <si>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> : *** = significatif au seuil de 1% ; ** = significatif au seuil de 5% ; * = significatif au seuil de 10%.</t>
    </r>
  </si>
  <si>
    <t>Personnes n'ayant jamais travaillé</t>
  </si>
  <si>
    <t>Tableau 3 - Migration des Drom vers la l'Hexagone (en %)</t>
  </si>
  <si>
    <t>Dont de retour*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</si>
  <si>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39% des jeunes nés dans les Antilles résident aujourd’hui en Métropole. Parmi eux, 19% résident en Île-de-France.</t>
    </r>
  </si>
  <si>
    <t>* Ayant vécu au moins 6 mois dans l'Hexagone</t>
  </si>
  <si>
    <t>Tableau x - pour les effectifs</t>
  </si>
  <si>
    <t>réside dans l'hexagone</t>
  </si>
  <si>
    <r>
      <rPr>
        <b/>
        <sz val="12"/>
        <color theme="1"/>
        <rFont val="Calibri"/>
        <family val="2"/>
        <scheme val="minor"/>
      </rPr>
      <t xml:space="preserve">Tableau x </t>
    </r>
    <r>
      <rPr>
        <sz val="11"/>
        <color theme="1"/>
        <rFont val="Calibri"/>
        <family val="2"/>
        <scheme val="minor"/>
      </rPr>
      <t>- Part des femmes et des hommes parmi les jeunes natifs de retour (en %)</t>
    </r>
  </si>
  <si>
    <t>Réside dans l'hexagone</t>
  </si>
  <si>
    <r>
      <t>Lecture</t>
    </r>
    <r>
      <rPr>
        <sz val="9"/>
        <color theme="1"/>
        <rFont val="Calibri"/>
        <family val="2"/>
        <scheme val="minor"/>
      </rPr>
      <t xml:space="preserve"> : 52,3% des jeunes de "retour", c'est-à-dire ayant vécu au moins 6 mois en métropole mais résidant aujourd'hui dans un drom (Antilles ou Réunion), sont des femmes</t>
    </r>
  </si>
  <si>
    <t>Agriculteurs exploitants, artisans commerçants, chefs d'entreprise</t>
  </si>
  <si>
    <t>Cadres et professions intellectuelles supérieures, professions intermédiaires</t>
  </si>
  <si>
    <t xml:space="preserve">né dans un drom, réside dans l'hexagone </t>
  </si>
  <si>
    <t xml:space="preserve">né dans l'hexagone, réside dans l'hexagone </t>
  </si>
  <si>
    <t>Tableau x - Potentiel de position sociale élevée selon le lieu de naissance et de résidence entre jeunes natifs des DROM et de l'hexagone (en points de pourcentage)</t>
  </si>
  <si>
    <t>hexagone</t>
  </si>
  <si>
    <r>
      <t>Lecture</t>
    </r>
    <r>
      <rPr>
        <sz val="9"/>
        <color theme="1"/>
        <rFont val="Calibri"/>
        <family val="2"/>
        <scheme val="minor"/>
      </rPr>
      <t xml:space="preserve"> les jeunes nés dans un Drom et résidant dans l'hexagone sont 9% moins souvent diplômés du supérieur que les jeunes nés en métropole de même origine sociale.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</si>
  <si>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les taux de diplômé du supérieur sont mesurés à origine sociale, sexe, âge et année d’enquête comparables.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</si>
  <si>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les taux de cadre ou d'emploi sont mesurés à origine sociale, niveau de diplôme, sexe, âge et année d’enquête comparables.</t>
    </r>
  </si>
  <si>
    <t>origine sociale favorisée</t>
  </si>
  <si>
    <t>Tableau X - Potentiel de position sociale élevée selon l'origine sociale, le lieu de naissance et de résidence (en points de pourcentages)</t>
  </si>
  <si>
    <t>Écart à même niveau de diplôme  (5)</t>
  </si>
  <si>
    <t xml:space="preserve">Modeste 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</si>
  <si>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 les jeunes d'origine sociale favorisée nés et résidant dans l'hexagone ont une proportion de diplômé du supérieur de 72,2%. Chez les jeunes d'origine sociale favorisée nés dans un Drom et résidant en métropole, cette proportion est de 11,1 point supérieur. </t>
    </r>
  </si>
  <si>
    <r>
      <rPr>
        <b/>
        <sz val="9"/>
        <color theme="1"/>
        <rFont val="Calibri"/>
        <family val="2"/>
        <scheme val="minor"/>
      </rPr>
      <t>Note 1</t>
    </r>
    <r>
      <rPr>
        <sz val="9"/>
        <color theme="1"/>
        <rFont val="Calibri"/>
        <family val="2"/>
        <scheme val="minor"/>
      </rPr>
      <t xml:space="preserve"> : les écarts dans les taux de diplômé du supérieur sont mesurés à sexe, âge et année d’enquête comparable.</t>
    </r>
  </si>
  <si>
    <r>
      <rPr>
        <b/>
        <sz val="9"/>
        <color theme="1"/>
        <rFont val="Calibri"/>
        <family val="2"/>
        <scheme val="minor"/>
      </rPr>
      <t>Note 2</t>
    </r>
    <r>
      <rPr>
        <sz val="9"/>
        <color theme="1"/>
        <rFont val="Calibri"/>
        <family val="2"/>
        <scheme val="minor"/>
      </rPr>
      <t xml:space="preserve"> : les écarts dans les taux de cadre ou d'emploi sont mesurés à niveau de diplôme, sexe, âge et année d’enquête comparable.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</si>
  <si>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 les jeunes d'origine sociale favorisée nés dans un Drom et résidant en métropole sont 15% plus souvent diplômés du supérieur que les jeunes d'origine sociale favorisée nés dans l'hexagone et résidant en hexagone </t>
    </r>
  </si>
  <si>
    <r>
      <t>Lecture</t>
    </r>
    <r>
      <rPr>
        <sz val="9"/>
        <color theme="1"/>
        <rFont val="Calibri"/>
        <family val="2"/>
        <scheme val="minor"/>
      </rPr>
      <t> : 43,3 % des jeunes nés et résidant en hexagone sont diplômés du supérieur. Cette proportion est de 3,9points inférieurs chez les natifs d'un Drom résidant dans l'hexagone, même à origine sociale comparable.</t>
    </r>
  </si>
  <si>
    <t>favorisé</t>
  </si>
  <si>
    <r>
      <rPr>
        <b/>
        <sz val="9"/>
        <color theme="1"/>
        <rFont val="Calibri"/>
        <family val="2"/>
        <scheme val="minor"/>
      </rPr>
      <t>Lecture </t>
    </r>
    <r>
      <rPr>
        <sz val="9"/>
        <color theme="1"/>
        <rFont val="Calibri"/>
        <family val="2"/>
        <scheme val="minor"/>
      </rPr>
      <t>: 58,8% des jeunes d’origine sociale favorisée natifs des Antilles vivent en métropole. Cette proportion n’est que de 33,9% chez les jeunes natifs des Antilles d’origine sociale modeste.</t>
    </r>
  </si>
  <si>
    <t>Drom 2020</t>
  </si>
  <si>
    <r>
      <rPr>
        <b/>
        <sz val="9"/>
        <color theme="1"/>
        <rFont val="Calibri"/>
        <family val="2"/>
        <scheme val="minor"/>
      </rPr>
      <t xml:space="preserve">Source </t>
    </r>
    <r>
      <rPr>
        <sz val="9"/>
        <color theme="1"/>
        <rFont val="Calibri"/>
        <family val="2"/>
        <scheme val="minor"/>
      </rPr>
      <t>: enquêtes Emploi sur le millésime 2014-2020, calculs de France Stratégie</t>
    </r>
  </si>
  <si>
    <r>
      <t xml:space="preserve">Source </t>
    </r>
    <r>
      <rPr>
        <sz val="9"/>
        <color rgb="FF000000"/>
        <rFont val="Calibri"/>
        <family val="2"/>
        <scheme val="minor"/>
      </rPr>
      <t>: enquêtes Emploi sur le millésime 2014-2020 (moyenne annuelle), calculs de France Stratégie</t>
    </r>
  </si>
  <si>
    <r>
      <rPr>
        <b/>
        <sz val="9"/>
        <color theme="1"/>
        <rFont val="Calibri"/>
        <family val="2"/>
        <scheme val="minor"/>
      </rPr>
      <t xml:space="preserve">Source </t>
    </r>
    <r>
      <rPr>
        <sz val="9"/>
        <color theme="1"/>
        <rFont val="Calibri"/>
        <family val="2"/>
        <scheme val="minor"/>
      </rPr>
      <t>: enquêtes Emploi sur le millésime 2014-2020 (moyenne annuelle), calculs de France Stratégie</t>
    </r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</si>
  <si>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enquête MFV 2 (2020-2021), calculs de l'ined  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</si>
  <si>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34% des jeunes sédentaires issus de dominante cadre/intermédiaire occupent une profession de cadres et professions intellectuelles supérieures ou une profession intermédaire</t>
    </r>
  </si>
  <si>
    <r>
      <t xml:space="preserve">Champ :  </t>
    </r>
    <r>
      <rPr>
        <sz val="11"/>
        <color theme="1"/>
        <rFont val="Calibri"/>
        <family val="2"/>
        <scheme val="minor"/>
      </rPr>
      <t>Natifs de retour ou sédentaires (sédentaire et court-séjour) des Drom (Antilles/La Réunion), sortis d'études depuis 5 à 10 ans, y vivant en 2020</t>
    </r>
  </si>
  <si>
    <r>
      <rPr>
        <b/>
        <sz val="11"/>
        <color rgb="FF000000"/>
        <rFont val="Calibri"/>
        <family val="2"/>
        <scheme val="minor"/>
      </rPr>
      <t>Champ</t>
    </r>
    <r>
      <rPr>
        <sz val="11"/>
        <color rgb="FF000000"/>
        <rFont val="Calibri"/>
        <family val="2"/>
        <scheme val="minor"/>
      </rPr>
      <t xml:space="preserve"> : Natifs des DROM étudiés (Antilles, La Réunion) y vivant sortis d’études depuis 5 à 10 ans, 2020 et 2010.</t>
    </r>
  </si>
  <si>
    <r>
      <rPr>
        <b/>
        <sz val="11"/>
        <color rgb="FF000000"/>
        <rFont val="Calibri"/>
        <family val="2"/>
        <scheme val="minor"/>
      </rPr>
      <t>Lecture :</t>
    </r>
    <r>
      <rPr>
        <sz val="11"/>
        <color rgb="FF000000"/>
        <rFont val="Calibri"/>
        <family val="2"/>
        <scheme val="minor"/>
      </rPr>
      <t xml:space="preserve"> En 2020, à autres caractéristiques contrôlées, les chances d’être cadre/PI pour les individus d’origine plutôt défavorable diplômé BEP/CAP ou - sont inférieures (0,06) aux chances des individus issus d’origine favorable diplômé Bac ou + (catégorie de référence). Leurs chances sont inférieures de 0,95.</t>
    </r>
  </si>
  <si>
    <r>
      <rPr>
        <b/>
        <sz val="11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enquête MFV 1 (2009-2010) et 2 (2020-2021), Calculs de l'Ined </t>
    </r>
  </si>
  <si>
    <r>
      <rPr>
        <b/>
        <sz val="11"/>
        <color rgb="FF000000"/>
        <rFont val="Calibri"/>
        <family val="2"/>
        <scheme val="minor"/>
      </rPr>
      <t>Note 1 :</t>
    </r>
    <r>
      <rPr>
        <sz val="11"/>
        <color rgb="FF000000"/>
        <rFont val="Calibri"/>
        <family val="2"/>
        <scheme val="minor"/>
      </rPr>
      <t xml:space="preserve"> Significativité : ** : significatif au seuil de 5 % ; *** : significatif au seuil de 1 %</t>
    </r>
  </si>
  <si>
    <r>
      <rPr>
        <b/>
        <sz val="10"/>
        <color theme="1"/>
        <rFont val="Times New Roman"/>
        <family val="1"/>
      </rPr>
      <t>Champ </t>
    </r>
    <r>
      <rPr>
        <sz val="10"/>
        <color theme="1"/>
        <rFont val="Times New Roman"/>
        <family val="1"/>
      </rPr>
      <t>: jeunes nés aux Antilles et à La Réunion (partie haute) et  en métropole (partie basse), vivant dans leur territoire de naissance et sortis de formation initiale depuis 5 à 10 ans</t>
    </r>
  </si>
  <si>
    <r>
      <rPr>
        <b/>
        <sz val="10"/>
        <color theme="1"/>
        <rFont val="Times New Roman"/>
        <family val="1"/>
      </rPr>
      <t>Lecture </t>
    </r>
    <r>
      <rPr>
        <sz val="10"/>
        <color theme="1"/>
        <rFont val="Times New Roman"/>
        <family val="1"/>
      </rPr>
      <t>: 40% des jeunes d’origine sociale à dominante "Cadre/Intermédiaire" aux Antilles et à La Réunion sont "cadres ou de profession intellectuelle supérieure" contre 56 % pour la métropole</t>
    </r>
  </si>
  <si>
    <r>
      <rPr>
        <b/>
        <sz val="10"/>
        <color theme="1"/>
        <rFont val="Times New Roman"/>
        <family val="1"/>
      </rPr>
      <t>Source</t>
    </r>
    <r>
      <rPr>
        <sz val="10"/>
        <color theme="1"/>
        <rFont val="Times New Roman"/>
        <family val="1"/>
      </rPr>
      <t xml:space="preserve"> : Ined-Insee ; enquête Migrations, Famille et Vieillissement 2 (2020-2021) pour les Drom et enquête Emploi 2020 pour la métropole, calculs de l'Ined et de Camille Peugny pour France stratégie</t>
    </r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</si>
  <si>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Jeunes âgés de 25-34 ans en 2020 de mère native des Antilles et de La Réunion pour les Drom et jeunes âgés de 25-34 ans en 2014-2015 nés en métropole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</si>
  <si>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76 % des jeunes de mères natives des Drom et diplômées du supérieur sont eux aussi diplômés du supérieur. Cette part était en 2014-2015 de 74% pour  les jeunes nés métropole.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</si>
  <si>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 xml:space="preserve"> : Ined-Insee ; enquête Migrations, Famille et Vieillissement 2 2020-2021 pour les Drom. Enquête Formation et qualification professionnelle  2014-2015 pour la métropole, calculs de l'INED et de Camille Peugny pour France stratégie</t>
    </r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</si>
  <si>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Jeunes âgés de 25-34 ans en 2020 de mère native des Antilles et de La Réunion. </t>
    </r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</si>
  <si>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2020, 77,7 % des jeunes de mères diplômées du supérieur, vivant dans l'Hexagone ou dans un autre Drom, sont eux aussi diplômés du supérieur. 75,6 % des jeunes de mères diplômées du supérieur, quel que soit leur lieu de résidence, ont le même niveau de diplôme que leur mère.</t>
    </r>
  </si>
  <si>
    <t>Agriculteurs exploitants, artisans commerçants, chefs d'entreprises</t>
  </si>
  <si>
    <t>Employés, ouvriers</t>
  </si>
  <si>
    <t>Dans l'Hexagone</t>
  </si>
  <si>
    <t>Hexagone 2015</t>
  </si>
  <si>
    <t xml:space="preserve">Réside dans l'Hexagone </t>
  </si>
  <si>
    <r>
      <t xml:space="preserve">Source : </t>
    </r>
    <r>
      <rPr>
        <sz val="11"/>
        <color theme="1"/>
        <rFont val="Calibri"/>
        <family val="2"/>
        <scheme val="minor"/>
      </rPr>
      <t xml:space="preserve">enquête MFV 2 (2020-2021), Calculs de l'Ined </t>
    </r>
  </si>
  <si>
    <r>
      <t xml:space="preserve">Lecture : </t>
    </r>
    <r>
      <rPr>
        <sz val="11"/>
        <color theme="1"/>
        <rFont val="Calibri"/>
        <family val="2"/>
        <scheme val="minor"/>
      </rPr>
      <t>aux Antilles en 2020, 53 % des natifs de retour sont en emploi contre 63 % à La Réunion.</t>
    </r>
  </si>
  <si>
    <r>
      <t xml:space="preserve">Champ : </t>
    </r>
    <r>
      <rPr>
        <sz val="11"/>
        <color theme="1"/>
        <rFont val="Calibri"/>
        <family val="2"/>
        <scheme val="minor"/>
      </rPr>
      <t>jeunes natifs de 25-34 ans des Antilles et de La Réunion, vivant dans leur DROM en 2020.</t>
    </r>
  </si>
  <si>
    <t>Niveau de vie mensuel médian (en €)</t>
  </si>
  <si>
    <t>Autre situation d'inactivité</t>
  </si>
  <si>
    <t>Inactif pour cause d'invalidité</t>
  </si>
  <si>
    <t>Au foyer</t>
  </si>
  <si>
    <t>Chômeur (inscrit ou non à Pôle Emploi)</t>
  </si>
  <si>
    <t>Etudiant ou apprenti</t>
  </si>
  <si>
    <t>En emploi</t>
  </si>
  <si>
    <t>Situation professionnelle</t>
  </si>
  <si>
    <t>Baccalauréat</t>
  </si>
  <si>
    <t>CAP-BEP</t>
  </si>
  <si>
    <t>Niveau de diplôme</t>
  </si>
  <si>
    <t>Femmes</t>
  </si>
  <si>
    <t>Hommes</t>
  </si>
  <si>
    <t>Sexe</t>
  </si>
  <si>
    <t xml:space="preserve">Autre </t>
  </si>
  <si>
    <t>Parents cadres/professions intermédiaires</t>
  </si>
  <si>
    <t>Origine sociale</t>
  </si>
  <si>
    <t>n = 296</t>
  </si>
  <si>
    <t>n = 389</t>
  </si>
  <si>
    <t>n = 45</t>
  </si>
  <si>
    <t>n = 41</t>
  </si>
  <si>
    <t>n = 61</t>
  </si>
  <si>
    <t>n = 114</t>
  </si>
  <si>
    <t xml:space="preserve"> (&gt; 6 mois)</t>
  </si>
  <si>
    <t>Ensemble des natifs</t>
  </si>
  <si>
    <t xml:space="preserve">Natifs de retour  </t>
  </si>
  <si>
    <t>(Tableau 1)</t>
  </si>
  <si>
    <t>Schéma 1 - Les sous-populations de jeunes étudiées par les différentes enquêtes</t>
  </si>
  <si>
    <t>Schéma 2 - Les quatres catégories socioprofessionnelles retenues</t>
  </si>
  <si>
    <t>Tableau 1  - table de mobilité sociale en 2019</t>
  </si>
  <si>
    <t>Tableau 2 - Niveaux de diplôme des jeunes âgés de 25 à 34 ans selon le niveau de diplôme des mères dans les Drom et dans l'hexagone (en %)</t>
  </si>
  <si>
    <r>
      <rPr>
        <b/>
        <sz val="11"/>
        <color theme="1"/>
        <rFont val="Calibri (Corps)"/>
      </rPr>
      <t>Graphique 4</t>
    </r>
    <r>
      <rPr>
        <b/>
        <sz val="11"/>
        <color theme="1"/>
        <rFont val="Calibri"/>
        <family val="2"/>
        <scheme val="minor"/>
      </rPr>
      <t xml:space="preserve"> - Part des femmes et des hommes parmi les jeunes natifs de retour (en %)</t>
    </r>
  </si>
  <si>
    <t>Graphique 5 - Niveaux de diplôme des jeunes âgés de 25-34 ans selon le niveau de diplôme des mères natives dans les Drom (en %)</t>
  </si>
  <si>
    <t>Graphique 6 - Potentiel de position sociale élevée selon le lieu de naissance et de résidence entre natifs des Drom et de l'hexagone (en %)</t>
  </si>
  <si>
    <t>Graphique 7 - Potentiel de position sociale élevée selon le lieu de naissance et de résidence des jeunes d'origine favorisée (en %)</t>
  </si>
  <si>
    <t>Tableau 4 - Potentiel de position sociale élevée selon l'origine sociale, le lieu de naissance et de résidence (en points de pourcentages)</t>
  </si>
  <si>
    <t>Tableau 5 - Caractéristiques socio-démographiques des natifs âgés de 25-34 ans vivant aux Antilles et à La Réunion, en 2020 (%)</t>
  </si>
  <si>
    <t xml:space="preserve">Tableau 6 -  Part des CSP des natifs des DROM sortis d’études depuis 5 à 10 ans en 2020, selon la PCS Ménage des parents et le rapport à la mobilité géographique (en %) </t>
  </si>
  <si>
    <r>
      <rPr>
        <b/>
        <sz val="11"/>
        <color theme="1"/>
        <rFont val="Calibri (Corps)"/>
      </rPr>
      <t>Graphique 8</t>
    </r>
    <r>
      <rPr>
        <sz val="11"/>
        <color theme="1"/>
        <rFont val="Calibri"/>
        <family val="2"/>
        <scheme val="minor"/>
      </rPr>
      <t xml:space="preserve"> - taux de départ vers l'hexagone (en %)</t>
    </r>
  </si>
  <si>
    <t>Annexe- Tableau E1 - Probabilité d’être Cadre/Profession intermédiaire plutôt que de ne pas l’être en 2020 et 2010, selon plusieurs catégories chez les natifs des Drom y vivant sortis d’études depuis 5 à 10 ans [Régressions logistiques]</t>
  </si>
  <si>
    <r>
      <t>Lecture</t>
    </r>
    <r>
      <rPr>
        <sz val="9"/>
        <color theme="1"/>
        <rFont val="Calibri"/>
        <family val="2"/>
        <scheme val="minor"/>
      </rPr>
      <t> : un jeune né dans les Antilles a 13% de chances de d’être diplômé du supérieur qu’un jeune né dans l'hexagone de même origine sociale.</t>
    </r>
  </si>
  <si>
    <r>
      <rPr>
        <b/>
        <sz val="11"/>
        <color theme="1"/>
        <rFont val="Calibri"/>
        <family val="2"/>
        <scheme val="minor"/>
      </rPr>
      <t xml:space="preserve">Graphique 2 </t>
    </r>
    <r>
      <rPr>
        <sz val="11"/>
        <color theme="1"/>
        <rFont val="Calibri"/>
        <family val="2"/>
        <scheme val="minor"/>
      </rPr>
      <t>- Potentiel de position sociale élevée  selon le lieu de naissance (en %)</t>
    </r>
  </si>
  <si>
    <r>
      <t>Lecture</t>
    </r>
    <r>
      <rPr>
        <sz val="9"/>
        <color theme="1"/>
        <rFont val="Calibri"/>
        <family val="2"/>
        <scheme val="minor"/>
      </rPr>
      <t> : 43% des jeunes nés en hexagone sont diplômés du supérieur. Cette proportion est de 5,5 points inférieurs chez les natifs des Antilles, à origine sociale comparable.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</si>
</sst>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 (Corps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 (Corps)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sz val="9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9" fillId="0" borderId="0" xfId="4" applyFont="1"/>
    <xf numFmtId="0" fontId="19" fillId="0" borderId="0" xfId="4" applyFont="1" applyAlignment="1">
      <alignment wrapText="1"/>
    </xf>
    <xf numFmtId="0" fontId="1" fillId="0" borderId="0" xfId="4"/>
    <xf numFmtId="9" fontId="1" fillId="0" borderId="0" xfId="5"/>
    <xf numFmtId="9" fontId="0" fillId="0" borderId="0" xfId="5" applyFont="1"/>
    <xf numFmtId="0" fontId="0" fillId="0" borderId="0" xfId="4" applyFont="1"/>
    <xf numFmtId="0" fontId="11" fillId="0" borderId="0" xfId="4" applyFont="1"/>
    <xf numFmtId="0" fontId="16" fillId="0" borderId="25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 wrapText="1"/>
    </xf>
    <xf numFmtId="0" fontId="16" fillId="0" borderId="26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 wrapText="1"/>
    </xf>
    <xf numFmtId="0" fontId="16" fillId="0" borderId="27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/>
    </xf>
    <xf numFmtId="164" fontId="17" fillId="0" borderId="29" xfId="4" applyNumberFormat="1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/>
    </xf>
    <xf numFmtId="2" fontId="16" fillId="0" borderId="23" xfId="4" applyNumberFormat="1" applyFont="1" applyBorder="1" applyAlignment="1">
      <alignment horizontal="center" vertical="center"/>
    </xf>
    <xf numFmtId="165" fontId="1" fillId="0" borderId="0" xfId="5" applyNumberFormat="1"/>
    <xf numFmtId="0" fontId="9" fillId="0" borderId="0" xfId="4" applyFont="1"/>
    <xf numFmtId="0" fontId="8" fillId="0" borderId="0" xfId="4" applyFont="1"/>
    <xf numFmtId="0" fontId="7" fillId="0" borderId="0" xfId="4" applyFont="1"/>
    <xf numFmtId="0" fontId="19" fillId="0" borderId="0" xfId="4" applyFont="1" applyAlignment="1">
      <alignment horizontal="center" vertical="center" wrapText="1"/>
    </xf>
    <xf numFmtId="164" fontId="1" fillId="0" borderId="0" xfId="4" applyNumberFormat="1" applyAlignment="1">
      <alignment horizontal="center" vertical="center"/>
    </xf>
    <xf numFmtId="2" fontId="11" fillId="0" borderId="0" xfId="4" applyNumberFormat="1" applyFont="1" applyAlignment="1">
      <alignment horizontal="center" vertical="center"/>
    </xf>
    <xf numFmtId="0" fontId="3" fillId="0" borderId="0" xfId="4" applyFont="1"/>
    <xf numFmtId="0" fontId="11" fillId="0" borderId="43" xfId="4" applyFont="1" applyBorder="1" applyAlignment="1">
      <alignment horizontal="center" vertical="center" wrapText="1"/>
    </xf>
    <xf numFmtId="0" fontId="11" fillId="0" borderId="44" xfId="4" applyFont="1" applyBorder="1" applyAlignment="1">
      <alignment horizontal="center" vertical="center" wrapText="1"/>
    </xf>
    <xf numFmtId="0" fontId="1" fillId="0" borderId="19" xfId="4" applyBorder="1" applyAlignment="1">
      <alignment horizontal="center" vertical="center" wrapText="1"/>
    </xf>
    <xf numFmtId="164" fontId="1" fillId="0" borderId="16" xfId="4" applyNumberFormat="1" applyBorder="1" applyAlignment="1">
      <alignment horizontal="center" vertical="center"/>
    </xf>
    <xf numFmtId="164" fontId="1" fillId="0" borderId="17" xfId="4" applyNumberFormat="1" applyBorder="1" applyAlignment="1">
      <alignment horizontal="center" vertical="center"/>
    </xf>
    <xf numFmtId="164" fontId="1" fillId="0" borderId="21" xfId="4" applyNumberFormat="1" applyBorder="1" applyAlignment="1">
      <alignment horizontal="center" vertical="center"/>
    </xf>
    <xf numFmtId="164" fontId="1" fillId="0" borderId="6" xfId="4" applyNumberFormat="1" applyBorder="1" applyAlignment="1">
      <alignment horizontal="center" vertical="center"/>
    </xf>
    <xf numFmtId="2" fontId="1" fillId="0" borderId="0" xfId="4" applyNumberFormat="1"/>
    <xf numFmtId="2" fontId="11" fillId="0" borderId="0" xfId="4" applyNumberFormat="1" applyFont="1"/>
    <xf numFmtId="0" fontId="12" fillId="2" borderId="19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1" fontId="0" fillId="2" borderId="16" xfId="0" applyNumberForma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 wrapText="1"/>
    </xf>
    <xf numFmtId="1" fontId="0" fillId="2" borderId="21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1" fillId="0" borderId="0" xfId="6" applyFont="1"/>
    <xf numFmtId="0" fontId="15" fillId="0" borderId="0" xfId="6"/>
    <xf numFmtId="0" fontId="11" fillId="0" borderId="19" xfId="6" applyFont="1" applyBorder="1" applyAlignment="1">
      <alignment horizontal="center" vertical="center"/>
    </xf>
    <xf numFmtId="0" fontId="11" fillId="0" borderId="7" xfId="6" applyFont="1" applyBorder="1"/>
    <xf numFmtId="9" fontId="1" fillId="0" borderId="7" xfId="5" applyFont="1" applyBorder="1" applyAlignment="1">
      <alignment horizontal="center" vertical="center"/>
    </xf>
    <xf numFmtId="1" fontId="1" fillId="0" borderId="7" xfId="5" applyNumberFormat="1" applyFont="1" applyBorder="1" applyAlignment="1">
      <alignment horizontal="center" vertical="center"/>
    </xf>
    <xf numFmtId="0" fontId="13" fillId="0" borderId="5" xfId="6" applyFont="1" applyBorder="1" applyAlignment="1">
      <alignment horizontal="right"/>
    </xf>
    <xf numFmtId="9" fontId="1" fillId="0" borderId="28" xfId="5" applyFont="1" applyBorder="1" applyAlignment="1">
      <alignment horizontal="center" vertical="center"/>
    </xf>
    <xf numFmtId="9" fontId="1" fillId="0" borderId="5" xfId="5" applyFont="1" applyBorder="1" applyAlignment="1">
      <alignment horizontal="center" vertical="center"/>
    </xf>
    <xf numFmtId="1" fontId="1" fillId="0" borderId="28" xfId="5" applyNumberFormat="1" applyFont="1" applyBorder="1" applyAlignment="1">
      <alignment horizontal="center" vertical="center"/>
    </xf>
    <xf numFmtId="1" fontId="1" fillId="0" borderId="5" xfId="5" applyNumberFormat="1" applyFont="1" applyBorder="1" applyAlignment="1">
      <alignment horizontal="center" vertical="center"/>
    </xf>
    <xf numFmtId="0" fontId="9" fillId="0" borderId="0" xfId="6" applyFont="1"/>
    <xf numFmtId="0" fontId="11" fillId="0" borderId="0" xfId="6" applyFont="1" applyAlignment="1">
      <alignment vertical="center"/>
    </xf>
    <xf numFmtId="9" fontId="0" fillId="0" borderId="0" xfId="7" applyFont="1"/>
    <xf numFmtId="165" fontId="0" fillId="0" borderId="3" xfId="7" applyNumberFormat="1" applyFont="1" applyBorder="1"/>
    <xf numFmtId="165" fontId="15" fillId="0" borderId="3" xfId="7" applyNumberFormat="1" applyFont="1" applyBorder="1" applyAlignment="1">
      <alignment horizontal="center" vertical="center"/>
    </xf>
    <xf numFmtId="165" fontId="0" fillId="0" borderId="0" xfId="7" applyNumberFormat="1" applyFont="1"/>
    <xf numFmtId="165" fontId="4" fillId="0" borderId="3" xfId="7" applyNumberFormat="1" applyFont="1" applyBorder="1" applyAlignment="1">
      <alignment horizontal="center" vertical="center"/>
    </xf>
    <xf numFmtId="165" fontId="11" fillId="0" borderId="3" xfId="7" applyNumberFormat="1" applyFont="1" applyBorder="1"/>
    <xf numFmtId="165" fontId="11" fillId="0" borderId="3" xfId="7" applyNumberFormat="1" applyFont="1" applyBorder="1" applyAlignment="1">
      <alignment horizontal="center"/>
    </xf>
    <xf numFmtId="165" fontId="13" fillId="0" borderId="3" xfId="7" applyNumberFormat="1" applyFont="1" applyBorder="1" applyAlignment="1">
      <alignment horizontal="right"/>
    </xf>
    <xf numFmtId="2" fontId="1" fillId="0" borderId="0" xfId="7" applyNumberFormat="1"/>
    <xf numFmtId="9" fontId="1" fillId="0" borderId="0" xfId="7"/>
    <xf numFmtId="0" fontId="16" fillId="0" borderId="0" xfId="4" applyFont="1" applyAlignment="1">
      <alignment horizontal="center" vertical="center"/>
    </xf>
    <xf numFmtId="165" fontId="17" fillId="0" borderId="0" xfId="4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9" fillId="0" borderId="0" xfId="7" applyNumberFormat="1" applyFont="1"/>
    <xf numFmtId="165" fontId="1" fillId="0" borderId="0" xfId="7" applyNumberFormat="1"/>
    <xf numFmtId="0" fontId="16" fillId="0" borderId="18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6" fillId="0" borderId="38" xfId="4" applyFont="1" applyBorder="1" applyAlignment="1">
      <alignment horizontal="center" vertical="center" wrapText="1"/>
    </xf>
    <xf numFmtId="0" fontId="16" fillId="0" borderId="14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 wrapText="1"/>
    </xf>
    <xf numFmtId="0" fontId="16" fillId="0" borderId="38" xfId="6" applyFont="1" applyBorder="1" applyAlignment="1">
      <alignment horizontal="center" vertical="center" wrapText="1"/>
    </xf>
    <xf numFmtId="2" fontId="16" fillId="0" borderId="26" xfId="4" applyNumberFormat="1" applyFont="1" applyBorder="1" applyAlignment="1">
      <alignment horizontal="center" vertical="center"/>
    </xf>
    <xf numFmtId="2" fontId="16" fillId="0" borderId="4" xfId="4" applyNumberFormat="1" applyFont="1" applyBorder="1" applyAlignment="1">
      <alignment horizontal="center" vertical="center"/>
    </xf>
    <xf numFmtId="164" fontId="17" fillId="0" borderId="26" xfId="4" applyNumberFormat="1" applyFont="1" applyBorder="1" applyAlignment="1">
      <alignment horizontal="center" vertical="center" wrapText="1"/>
    </xf>
    <xf numFmtId="164" fontId="17" fillId="0" borderId="38" xfId="4" applyNumberFormat="1" applyFont="1" applyBorder="1" applyAlignment="1">
      <alignment horizontal="center" vertical="center" wrapText="1"/>
    </xf>
    <xf numFmtId="164" fontId="17" fillId="0" borderId="14" xfId="4" applyNumberFormat="1" applyFont="1" applyBorder="1" applyAlignment="1">
      <alignment horizontal="center" vertical="center" wrapText="1"/>
    </xf>
    <xf numFmtId="0" fontId="16" fillId="0" borderId="43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 wrapText="1"/>
    </xf>
    <xf numFmtId="0" fontId="1" fillId="0" borderId="29" xfId="4" applyBorder="1" applyAlignment="1">
      <alignment horizontal="center" vertical="center"/>
    </xf>
    <xf numFmtId="0" fontId="1" fillId="0" borderId="35" xfId="4" applyBorder="1" applyAlignment="1">
      <alignment horizontal="center"/>
    </xf>
    <xf numFmtId="164" fontId="1" fillId="0" borderId="48" xfId="4" applyNumberFormat="1" applyBorder="1" applyAlignment="1">
      <alignment horizontal="center" vertical="center"/>
    </xf>
    <xf numFmtId="164" fontId="1" fillId="0" borderId="29" xfId="4" applyNumberFormat="1" applyBorder="1" applyAlignment="1">
      <alignment horizontal="center" vertical="center"/>
    </xf>
    <xf numFmtId="164" fontId="1" fillId="0" borderId="35" xfId="4" applyNumberFormat="1" applyBorder="1" applyAlignment="1">
      <alignment horizontal="center" vertical="center"/>
    </xf>
    <xf numFmtId="164" fontId="1" fillId="0" borderId="34" xfId="4" applyNumberFormat="1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1" fillId="0" borderId="47" xfId="4" applyBorder="1" applyAlignment="1">
      <alignment horizontal="center"/>
    </xf>
    <xf numFmtId="164" fontId="1" fillId="0" borderId="49" xfId="4" applyNumberFormat="1" applyBorder="1" applyAlignment="1">
      <alignment horizontal="center" vertical="center"/>
    </xf>
    <xf numFmtId="164" fontId="1" fillId="0" borderId="37" xfId="4" applyNumberFormat="1" applyBorder="1" applyAlignment="1">
      <alignment horizontal="center" vertical="center"/>
    </xf>
    <xf numFmtId="164" fontId="1" fillId="0" borderId="13" xfId="4" applyNumberFormat="1" applyBorder="1" applyAlignment="1">
      <alignment horizontal="center" vertical="center"/>
    </xf>
    <xf numFmtId="164" fontId="1" fillId="0" borderId="47" xfId="4" applyNumberFormat="1" applyBorder="1" applyAlignment="1">
      <alignment horizontal="center" vertical="center"/>
    </xf>
    <xf numFmtId="165" fontId="11" fillId="0" borderId="23" xfId="7" applyNumberFormat="1" applyFont="1" applyBorder="1" applyAlignment="1">
      <alignment horizontal="center" vertical="center"/>
    </xf>
    <xf numFmtId="165" fontId="11" fillId="0" borderId="20" xfId="7" applyNumberFormat="1" applyFont="1" applyBorder="1" applyAlignment="1">
      <alignment horizontal="center" vertical="center"/>
    </xf>
    <xf numFmtId="164" fontId="1" fillId="0" borderId="45" xfId="4" applyNumberFormat="1" applyBorder="1" applyAlignment="1">
      <alignment horizontal="center" vertical="center"/>
    </xf>
    <xf numFmtId="10" fontId="9" fillId="0" borderId="0" xfId="4" applyNumberFormat="1" applyFont="1"/>
    <xf numFmtId="164" fontId="17" fillId="0" borderId="4" xfId="4" applyNumberFormat="1" applyFont="1" applyBorder="1" applyAlignment="1">
      <alignment horizontal="center" vertical="center" wrapText="1"/>
    </xf>
    <xf numFmtId="164" fontId="17" fillId="0" borderId="3" xfId="4" applyNumberFormat="1" applyFont="1" applyBorder="1" applyAlignment="1">
      <alignment horizontal="center" vertical="center" wrapText="1"/>
    </xf>
    <xf numFmtId="0" fontId="1" fillId="0" borderId="3" xfId="4" applyBorder="1"/>
    <xf numFmtId="0" fontId="16" fillId="0" borderId="3" xfId="4" applyFont="1" applyBorder="1" applyAlignment="1">
      <alignment horizontal="center" vertical="center"/>
    </xf>
    <xf numFmtId="165" fontId="17" fillId="0" borderId="3" xfId="4" applyNumberFormat="1" applyFont="1" applyBorder="1" applyAlignment="1">
      <alignment horizontal="center" vertical="center"/>
    </xf>
    <xf numFmtId="1" fontId="17" fillId="0" borderId="0" xfId="4" applyNumberFormat="1" applyFont="1" applyAlignment="1">
      <alignment horizontal="center" vertical="center"/>
    </xf>
    <xf numFmtId="165" fontId="17" fillId="0" borderId="0" xfId="7" applyNumberFormat="1" applyFont="1" applyBorder="1" applyAlignment="1">
      <alignment horizontal="center" vertical="center"/>
    </xf>
    <xf numFmtId="165" fontId="1" fillId="0" borderId="0" xfId="4" applyNumberFormat="1"/>
    <xf numFmtId="1" fontId="1" fillId="0" borderId="0" xfId="4" applyNumberFormat="1"/>
    <xf numFmtId="0" fontId="4" fillId="0" borderId="0" xfId="0" applyFont="1" applyAlignment="1">
      <alignment vertical="center"/>
    </xf>
    <xf numFmtId="1" fontId="22" fillId="0" borderId="37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1" fontId="22" fillId="0" borderId="51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0" fillId="0" borderId="50" xfId="0" applyBorder="1"/>
    <xf numFmtId="1" fontId="22" fillId="0" borderId="35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0" fontId="0" fillId="0" borderId="52" xfId="0" applyBorder="1"/>
    <xf numFmtId="0" fontId="0" fillId="0" borderId="15" xfId="0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right" vertical="center"/>
    </xf>
    <xf numFmtId="0" fontId="0" fillId="3" borderId="17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16" xfId="0" applyFill="1" applyBorder="1" applyAlignment="1">
      <alignment vertical="top"/>
    </xf>
    <xf numFmtId="0" fontId="7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6" xfId="0" applyFont="1" applyFill="1" applyBorder="1" applyAlignment="1">
      <alignment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0" borderId="0" xfId="6" applyFont="1"/>
    <xf numFmtId="165" fontId="17" fillId="0" borderId="18" xfId="4" applyNumberFormat="1" applyFont="1" applyBorder="1" applyAlignment="1">
      <alignment horizontal="center" vertical="center"/>
    </xf>
    <xf numFmtId="165" fontId="17" fillId="0" borderId="31" xfId="4" applyNumberFormat="1" applyFont="1" applyBorder="1" applyAlignment="1">
      <alignment horizontal="center" vertical="center"/>
    </xf>
    <xf numFmtId="165" fontId="17" fillId="0" borderId="32" xfId="4" applyNumberFormat="1" applyFont="1" applyBorder="1" applyAlignment="1">
      <alignment horizontal="center" vertical="center"/>
    </xf>
    <xf numFmtId="165" fontId="17" fillId="0" borderId="23" xfId="4" applyNumberFormat="1" applyFont="1" applyBorder="1" applyAlignment="1">
      <alignment horizontal="center" vertical="center"/>
    </xf>
    <xf numFmtId="165" fontId="17" fillId="0" borderId="20" xfId="4" applyNumberFormat="1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6" fillId="0" borderId="24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18" xfId="4" applyFont="1" applyBorder="1" applyAlignment="1">
      <alignment horizontal="center"/>
    </xf>
    <xf numFmtId="0" fontId="16" fillId="0" borderId="23" xfId="4" applyFont="1" applyBorder="1" applyAlignment="1">
      <alignment horizontal="center"/>
    </xf>
    <xf numFmtId="0" fontId="16" fillId="0" borderId="20" xfId="4" applyFont="1" applyBorder="1" applyAlignment="1">
      <alignment horizontal="center"/>
    </xf>
    <xf numFmtId="0" fontId="16" fillId="0" borderId="28" xfId="4" applyFont="1" applyBorder="1" applyAlignment="1">
      <alignment horizontal="center" vertical="center"/>
    </xf>
    <xf numFmtId="0" fontId="16" fillId="0" borderId="30" xfId="4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20" fillId="0" borderId="0" xfId="4" applyFont="1" applyAlignment="1">
      <alignment horizontal="center"/>
    </xf>
    <xf numFmtId="0" fontId="11" fillId="0" borderId="33" xfId="4" applyFont="1" applyBorder="1" applyAlignment="1">
      <alignment horizontal="center" vertical="center" wrapText="1"/>
    </xf>
    <xf numFmtId="0" fontId="11" fillId="0" borderId="36" xfId="4" applyFont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" fontId="16" fillId="0" borderId="42" xfId="4" applyNumberFormat="1" applyFont="1" applyBorder="1" applyAlignment="1">
      <alignment horizontal="center" vertical="center"/>
    </xf>
    <xf numFmtId="2" fontId="16" fillId="0" borderId="16" xfId="4" applyNumberFormat="1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41" xfId="4" applyFont="1" applyBorder="1" applyAlignment="1">
      <alignment horizontal="center" vertical="center"/>
    </xf>
    <xf numFmtId="0" fontId="16" fillId="0" borderId="39" xfId="4" applyFont="1" applyBorder="1" applyAlignment="1">
      <alignment horizontal="center" vertical="center"/>
    </xf>
    <xf numFmtId="0" fontId="16" fillId="0" borderId="26" xfId="4" applyFont="1" applyBorder="1" applyAlignment="1">
      <alignment horizontal="center" vertical="center"/>
    </xf>
    <xf numFmtId="0" fontId="16" fillId="0" borderId="40" xfId="4" applyFont="1" applyBorder="1" applyAlignment="1">
      <alignment horizontal="center" vertical="center"/>
    </xf>
    <xf numFmtId="0" fontId="16" fillId="0" borderId="27" xfId="4" applyFont="1" applyBorder="1" applyAlignment="1">
      <alignment horizontal="center" vertical="center"/>
    </xf>
    <xf numFmtId="0" fontId="16" fillId="0" borderId="18" xfId="4" applyFont="1" applyBorder="1" applyAlignment="1">
      <alignment horizontal="center" vertical="center"/>
    </xf>
    <xf numFmtId="0" fontId="16" fillId="0" borderId="31" xfId="4" applyFont="1" applyBorder="1" applyAlignment="1">
      <alignment horizontal="center" vertical="center"/>
    </xf>
    <xf numFmtId="0" fontId="16" fillId="0" borderId="32" xfId="4" applyFont="1" applyBorder="1" applyAlignment="1">
      <alignment horizontal="center" vertical="center"/>
    </xf>
    <xf numFmtId="0" fontId="16" fillId="0" borderId="23" xfId="4" applyFont="1" applyBorder="1" applyAlignment="1">
      <alignment horizontal="center" vertical="center"/>
    </xf>
    <xf numFmtId="0" fontId="16" fillId="0" borderId="20" xfId="4" applyFont="1" applyBorder="1" applyAlignment="1">
      <alignment horizontal="center" vertical="center"/>
    </xf>
    <xf numFmtId="0" fontId="11" fillId="0" borderId="43" xfId="4" applyFont="1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1" fillId="0" borderId="7" xfId="4" applyBorder="1" applyAlignment="1">
      <alignment horizontal="center"/>
    </xf>
    <xf numFmtId="0" fontId="1" fillId="0" borderId="5" xfId="4" applyBorder="1" applyAlignment="1">
      <alignment horizontal="center"/>
    </xf>
    <xf numFmtId="0" fontId="11" fillId="0" borderId="7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165" fontId="11" fillId="0" borderId="18" xfId="7" applyNumberFormat="1" applyFont="1" applyBorder="1" applyAlignment="1">
      <alignment horizontal="center" vertical="center"/>
    </xf>
    <xf numFmtId="165" fontId="11" fillId="0" borderId="20" xfId="7" applyNumberFormat="1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indent="5"/>
    </xf>
    <xf numFmtId="0" fontId="26" fillId="3" borderId="10" xfId="0" applyFont="1" applyFill="1" applyBorder="1" applyAlignment="1">
      <alignment horizontal="left" vertical="center" indent="5"/>
    </xf>
    <xf numFmtId="0" fontId="7" fillId="3" borderId="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6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6"/>
    <cellStyle name="Normal 3" xfId="2"/>
    <cellStyle name="Normal 3 2" xfId="4"/>
    <cellStyle name="Pourcentage 2" xfId="3"/>
    <cellStyle name="Pourcentage 2 2" xfId="7"/>
    <cellStyle name="Pourcentage 3" xfId="5"/>
  </cellStyles>
  <dxfs count="0"/>
  <tableStyles count="0" defaultTableStyle="TableStyleMedium2" defaultPivotStyle="PivotStyleLight16"/>
  <colors>
    <mruColors>
      <color rgb="FFB9CDE5"/>
      <color rgb="FF8EB4E3"/>
      <color rgb="FFB99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029246281769672E-2"/>
          <c:y val="2.1870707007894826E-3"/>
          <c:w val="0.95961304848342222"/>
          <c:h val="0.88784936014308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G2'!$C$5</c:f>
              <c:strCache>
                <c:ptCount val="1"/>
                <c:pt idx="0">
                  <c:v>probabilité d'être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G2'!$C$6:$C$8</c:f>
              <c:numCache>
                <c:formatCode>0%</c:formatCode>
                <c:ptCount val="3"/>
                <c:pt idx="0">
                  <c:v>-0.12908680697409</c:v>
                </c:pt>
                <c:pt idx="1">
                  <c:v>0</c:v>
                </c:pt>
                <c:pt idx="2">
                  <c:v>-0.194527455824649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6-8542-8F5E-AA6A94CC5333}"/>
            </c:ext>
          </c:extLst>
        </c:ser>
        <c:ser>
          <c:idx val="1"/>
          <c:order val="1"/>
          <c:tx>
            <c:strRef>
              <c:f>' G2'!$D$5</c:f>
              <c:strCache>
                <c:ptCount val="1"/>
                <c:pt idx="0">
                  <c:v>probabilité d'être en 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G2'!$D$6:$D$8</c:f>
              <c:numCache>
                <c:formatCode>0%</c:formatCode>
                <c:ptCount val="3"/>
                <c:pt idx="0">
                  <c:v>-0.141120595509861</c:v>
                </c:pt>
                <c:pt idx="1">
                  <c:v>0</c:v>
                </c:pt>
                <c:pt idx="2">
                  <c:v>-0.21379021749854599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6-8542-8F5E-AA6A94CC5333}"/>
            </c:ext>
          </c:extLst>
        </c:ser>
        <c:ser>
          <c:idx val="2"/>
          <c:order val="2"/>
          <c:tx>
            <c:strRef>
              <c:f>' G2'!$E$5</c:f>
              <c:strCache>
                <c:ptCount val="1"/>
                <c:pt idx="0">
                  <c:v>probabilité d'être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06-8542-8F5E-AA6A94CC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G2'!$B$6:$B$8</c:f>
              <c:strCache>
                <c:ptCount val="3"/>
                <c:pt idx="0">
                  <c:v>antilles</c:v>
                </c:pt>
                <c:pt idx="1">
                  <c:v>Hexagone </c:v>
                </c:pt>
                <c:pt idx="2">
                  <c:v>la réunion</c:v>
                </c:pt>
              </c:strCache>
            </c:strRef>
          </c:cat>
          <c:val>
            <c:numRef>
              <c:f>' G2'!$E$6:$E$8</c:f>
              <c:numCache>
                <c:formatCode>0%</c:formatCode>
                <c:ptCount val="3"/>
                <c:pt idx="0">
                  <c:v>-0.35380052002340401</c:v>
                </c:pt>
                <c:pt idx="1">
                  <c:v>0</c:v>
                </c:pt>
                <c:pt idx="2">
                  <c:v>-0.24976455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06-8542-8F5E-AA6A94CC53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5116399"/>
        <c:axId val="287081599"/>
      </c:barChart>
      <c:catAx>
        <c:axId val="27511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081599"/>
        <c:crosses val="autoZero"/>
        <c:auto val="1"/>
        <c:lblAlgn val="ctr"/>
        <c:lblOffset val="100"/>
        <c:noMultiLvlLbl val="0"/>
      </c:catAx>
      <c:valAx>
        <c:axId val="28708159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511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3702208533123943E-2"/>
          <c:y val="0.93219116580077899"/>
          <c:w val="0.77588017246413599"/>
          <c:h val="4.2173823121198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 G3 '!$B$3</c:f>
              <c:strCache>
                <c:ptCount val="1"/>
                <c:pt idx="0">
                  <c:v>probabilité d'être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'!$C$3:$D$3</c:f>
              <c:numCache>
                <c:formatCode>0.0</c:formatCode>
                <c:ptCount val="2"/>
                <c:pt idx="0">
                  <c:v>2.5193378548529037</c:v>
                </c:pt>
                <c:pt idx="1">
                  <c:v>3.0280848627601693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9-2D41-82A5-A81C3B8212FA}"/>
            </c:ext>
          </c:extLst>
        </c:ser>
        <c:ser>
          <c:idx val="1"/>
          <c:order val="1"/>
          <c:tx>
            <c:strRef>
              <c:f>'  G3 '!$B$4</c:f>
              <c:strCache>
                <c:ptCount val="1"/>
                <c:pt idx="0">
                  <c:v>probabilité d'être en 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'!$C$4:$D$4</c:f>
              <c:numCache>
                <c:formatCode>0.0</c:formatCode>
                <c:ptCount val="2"/>
                <c:pt idx="0">
                  <c:v>1.1450536078151576</c:v>
                </c:pt>
                <c:pt idx="1">
                  <c:v>1.4293091690003281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9-2D41-82A5-A81C3B8212FA}"/>
            </c:ext>
          </c:extLst>
        </c:ser>
        <c:ser>
          <c:idx val="2"/>
          <c:order val="2"/>
          <c:tx>
            <c:strRef>
              <c:f>'  G3 '!$B$5</c:f>
              <c:strCache>
                <c:ptCount val="1"/>
                <c:pt idx="0">
                  <c:v>probabilité d'être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 G3 '!$C$1:$D$2</c:f>
              <c:multiLvlStrCache>
                <c:ptCount val="2"/>
                <c:lvl>
                  <c:pt idx="0">
                    <c:v>natifs de l'hexagone</c:v>
                  </c:pt>
                  <c:pt idx="1">
                    <c:v>natifs d'un drom</c:v>
                  </c:pt>
                </c:lvl>
                <c:lvl>
                  <c:pt idx="0">
                    <c:v>Favorisé versus modeste </c:v>
                  </c:pt>
                </c:lvl>
              </c:multiLvlStrCache>
            </c:multiLvlStrRef>
          </c:cat>
          <c:val>
            <c:numRef>
              <c:f>'  G3 '!$C$5:$D$5</c:f>
              <c:numCache>
                <c:formatCode>0.0</c:formatCode>
                <c:ptCount val="2"/>
                <c:pt idx="0">
                  <c:v>2.768073977545749</c:v>
                </c:pt>
                <c:pt idx="1">
                  <c:v>2.3307730081133973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9-2D41-82A5-A81C3B8212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2165295"/>
        <c:axId val="221541807"/>
      </c:barChart>
      <c:catAx>
        <c:axId val="222165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1541807"/>
        <c:crosses val="autoZero"/>
        <c:auto val="1"/>
        <c:lblAlgn val="ctr"/>
        <c:lblOffset val="100"/>
        <c:noMultiLvlLbl val="0"/>
      </c:catAx>
      <c:valAx>
        <c:axId val="221541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small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cap="small" baseline="0">
          <a:solidFill>
            <a:schemeClr val="tx1">
              <a:lumMod val="85000"/>
              <a:lumOff val="15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G4 '!$B$4</c:f>
              <c:strCache>
                <c:ptCount val="1"/>
                <c:pt idx="0">
                  <c:v>réside dans l'hexagone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sm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G4 '!$C$3:$D$3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 G4 '!$C$4:$D$4</c:f>
              <c:numCache>
                <c:formatCode>0.0%</c:formatCode>
                <c:ptCount val="2"/>
                <c:pt idx="0">
                  <c:v>0.52217406361011709</c:v>
                </c:pt>
                <c:pt idx="1">
                  <c:v>0.47782593638988285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9-5F44-A0F5-9B814604B1BF}"/>
            </c:ext>
          </c:extLst>
        </c:ser>
        <c:ser>
          <c:idx val="1"/>
          <c:order val="1"/>
          <c:tx>
            <c:strRef>
              <c:f>' G4 '!$B$5</c:f>
              <c:strCache>
                <c:ptCount val="1"/>
                <c:pt idx="0">
                  <c:v>de retour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G4 '!$C$3:$D$3</c:f>
              <c:strCache>
                <c:ptCount val="2"/>
                <c:pt idx="0">
                  <c:v>homme</c:v>
                </c:pt>
                <c:pt idx="1">
                  <c:v>Femme</c:v>
                </c:pt>
              </c:strCache>
            </c:strRef>
          </c:cat>
          <c:val>
            <c:numRef>
              <c:f>' G4 '!$C$5:$D$5</c:f>
              <c:numCache>
                <c:formatCode>0.0%</c:formatCode>
                <c:ptCount val="2"/>
                <c:pt idx="0">
                  <c:v>0.47729579999999999</c:v>
                </c:pt>
                <c:pt idx="1">
                  <c:v>0.52270419999999995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9-5F44-A0F5-9B814604B1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065498704"/>
        <c:axId val="2080991344"/>
      </c:barChart>
      <c:catAx>
        <c:axId val="206549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small" spc="2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91344"/>
        <c:crosses val="autoZero"/>
        <c:auto val="1"/>
        <c:lblAlgn val="ctr"/>
        <c:lblOffset val="100"/>
        <c:noMultiLvlLbl val="0"/>
      </c:catAx>
      <c:valAx>
        <c:axId val="2080991344"/>
        <c:scaling>
          <c:orientation val="minMax"/>
          <c:max val="0.56000000000000005"/>
          <c:min val="0.4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49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036996964345647"/>
          <c:y val="7.0175438596491224E-2"/>
          <c:w val="0.59863992602062399"/>
          <c:h val="0.800495759082746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'G5'!$D$6</c:f>
              <c:strCache>
                <c:ptCount val="1"/>
                <c:pt idx="0">
                  <c:v>Diplômé du supérieur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'G5'!$D$7:$D$15</c:f>
              <c:numCache>
                <c:formatCode>0.0</c:formatCode>
                <c:ptCount val="9"/>
                <c:pt idx="0">
                  <c:v>21.742752571427342</c:v>
                </c:pt>
                <c:pt idx="1">
                  <c:v>17.316053806536363</c:v>
                </c:pt>
                <c:pt idx="2">
                  <c:v>33.561779297716996</c:v>
                </c:pt>
                <c:pt idx="3">
                  <c:v>44.372429328735727</c:v>
                </c:pt>
                <c:pt idx="4">
                  <c:v>38.444581588402094</c:v>
                </c:pt>
                <c:pt idx="5">
                  <c:v>55.494616315600155</c:v>
                </c:pt>
                <c:pt idx="6">
                  <c:v>75.592634347233215</c:v>
                </c:pt>
                <c:pt idx="7">
                  <c:v>74.039952394612413</c:v>
                </c:pt>
                <c:pt idx="8">
                  <c:v>77.733851319191288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7-7A46-93D4-A2A719794B49}"/>
            </c:ext>
          </c:extLst>
        </c:ser>
        <c:ser>
          <c:idx val="1"/>
          <c:order val="1"/>
          <c:tx>
            <c:strRef>
              <c:f>'G5'!$E$6</c:f>
              <c:strCache>
                <c:ptCount val="1"/>
                <c:pt idx="0">
                  <c:v>Baccalauréat général/technologique/professionnel, CAP/BEP</c:v>
                </c:pt>
              </c:strCache>
            </c:strRef>
          </c:tx>
          <c:spPr>
            <a:solidFill>
              <a:srgbClr val="8EB4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'G5'!$E$7:$E$15</c:f>
              <c:numCache>
                <c:formatCode>0.0</c:formatCode>
                <c:ptCount val="9"/>
                <c:pt idx="0">
                  <c:v>49.499978078225531</c:v>
                </c:pt>
                <c:pt idx="1">
                  <c:v>48.452934826748972</c:v>
                </c:pt>
                <c:pt idx="2">
                  <c:v>52.295522304304697</c:v>
                </c:pt>
                <c:pt idx="3">
                  <c:v>45.879279259484122</c:v>
                </c:pt>
                <c:pt idx="4">
                  <c:v>50.277222570519399</c:v>
                </c:pt>
                <c:pt idx="5">
                  <c:v>37.627591630913045</c:v>
                </c:pt>
                <c:pt idx="6">
                  <c:v>19.943799503598026</c:v>
                </c:pt>
                <c:pt idx="7">
                  <c:v>18.891561015476952</c:v>
                </c:pt>
                <c:pt idx="8">
                  <c:v>21.394882840729206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7-7A46-93D4-A2A719794B49}"/>
            </c:ext>
          </c:extLst>
        </c:ser>
        <c:ser>
          <c:idx val="2"/>
          <c:order val="2"/>
          <c:tx>
            <c:strRef>
              <c:f>'G5'!$F$6</c:f>
              <c:strCache>
                <c:ptCount val="1"/>
                <c:pt idx="0">
                  <c:v>Peu ou pas diplômé</c:v>
                </c:pt>
              </c:strCache>
            </c:strRef>
          </c:tx>
          <c:spPr>
            <a:solidFill>
              <a:srgbClr val="B9CDE5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97-7A46-93D4-A2A719794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'G5'!$B$7:$C$15</c:f>
              <c:multiLvlStrCache>
                <c:ptCount val="9"/>
                <c:lvl>
                  <c:pt idx="0">
                    <c:v>Ensemble</c:v>
                  </c:pt>
                  <c:pt idx="1">
                    <c:v>Vit dans le DROM de naissance de sa mère</c:v>
                  </c:pt>
                  <c:pt idx="2">
                    <c:v>Vit dans l'Hexagone ou dans un autre DROM</c:v>
                  </c:pt>
                  <c:pt idx="3">
                    <c:v>Ensemble</c:v>
                  </c:pt>
                  <c:pt idx="4">
                    <c:v>Vit dans le DROM de naissance de sa mère</c:v>
                  </c:pt>
                  <c:pt idx="5">
                    <c:v>Vit dans l'Hexagone ou dans un autre DROM</c:v>
                  </c:pt>
                  <c:pt idx="6">
                    <c:v>Ensemble</c:v>
                  </c:pt>
                  <c:pt idx="7">
                    <c:v>Vit dans le DROM de naissance de sa mère</c:v>
                  </c:pt>
                  <c:pt idx="8">
                    <c:v>Vit dans l'Hexagone ou dans un autre DROM</c:v>
                  </c:pt>
                </c:lvl>
                <c:lvl>
                  <c:pt idx="0">
                    <c:v>Peu ou pas diplômé</c:v>
                  </c:pt>
                  <c:pt idx="3">
                    <c:v>Baccalauréat général/technologique/professionnel, CAP/BEP</c:v>
                  </c:pt>
                  <c:pt idx="6">
                    <c:v>Diplômé du supérieur</c:v>
                  </c:pt>
                </c:lvl>
              </c:multiLvlStrCache>
            </c:multiLvlStrRef>
          </c:cat>
          <c:val>
            <c:numRef>
              <c:f>'G5'!$F$7:$F$15</c:f>
              <c:numCache>
                <c:formatCode>0.0</c:formatCode>
                <c:ptCount val="9"/>
                <c:pt idx="0">
                  <c:v>28.757269350347126</c:v>
                </c:pt>
                <c:pt idx="1">
                  <c:v>34.231011366714661</c:v>
                </c:pt>
                <c:pt idx="2">
                  <c:v>14.142698397978309</c:v>
                </c:pt>
                <c:pt idx="3">
                  <c:v>9.7482914117801638</c:v>
                </c:pt>
                <c:pt idx="4">
                  <c:v>11.278195841078524</c:v>
                </c:pt>
                <c:pt idx="5">
                  <c:v>6.8777920534867949</c:v>
                </c:pt>
                <c:pt idx="6">
                  <c:v>4.4635661491687584</c:v>
                </c:pt>
                <c:pt idx="7">
                  <c:v>7.0684865899106315</c:v>
                </c:pt>
                <c:pt idx="8">
                  <c:v>0.87126584007949215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7-7A46-93D4-A2A719794B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5893647"/>
        <c:axId val="295891247"/>
      </c:barChart>
      <c:catAx>
        <c:axId val="295893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891247"/>
        <c:crosses val="autoZero"/>
        <c:auto val="1"/>
        <c:lblAlgn val="ctr"/>
        <c:lblOffset val="100"/>
        <c:noMultiLvlLbl val="0"/>
      </c:catAx>
      <c:valAx>
        <c:axId val="295891247"/>
        <c:scaling>
          <c:orientation val="minMax"/>
          <c:max val="10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893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56877701239105"/>
          <c:y val="0.94341343695674407"/>
          <c:w val="0.65824174357605558"/>
          <c:h val="4.1744262486669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42976153885275E-2"/>
          <c:y val="7.5665904500979569E-2"/>
          <c:w val="0.93757433769417819"/>
          <c:h val="0.87013489072056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G6'!$C$2</c:f>
              <c:strCache>
                <c:ptCount val="1"/>
                <c:pt idx="0">
                  <c:v>taux de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009196853410656E-17"/>
                  <c:y val="-3.7137767862242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B-6741-8C39-F3A4E24CD2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B-6741-8C39-F3A4E24CD23B}"/>
                </c:ext>
              </c:extLst>
            </c:dLbl>
            <c:dLbl>
              <c:idx val="2"/>
              <c:layout>
                <c:manualLayout>
                  <c:x val="1.4192015058286614E-2"/>
                  <c:y val="-4.45653214346912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G6'!$C$3:$C$5</c:f>
              <c:numCache>
                <c:formatCode>0.0%</c:formatCode>
                <c:ptCount val="3"/>
                <c:pt idx="0">
                  <c:v>-9.0069284064665134E-2</c:v>
                </c:pt>
                <c:pt idx="2">
                  <c:v>-0.35565819861431874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B-6741-8C39-F3A4E24CD23B}"/>
            </c:ext>
          </c:extLst>
        </c:ser>
        <c:ser>
          <c:idx val="1"/>
          <c:order val="1"/>
          <c:tx>
            <c:strRef>
              <c:f>' G6'!$D$2</c:f>
              <c:strCache>
                <c:ptCount val="1"/>
                <c:pt idx="0">
                  <c:v>taux d'emploi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018393706821311E-17"/>
                  <c:y val="-3.4661916671426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B-6741-8C39-F3A4E24CD23B}"/>
                </c:ext>
              </c:extLst>
            </c:dLbl>
            <c:dLbl>
              <c:idx val="1"/>
              <c:layout>
                <c:manualLayout>
                  <c:x val="8.5152090349720308E-2"/>
                  <c:y val="0.136171815494890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B-6741-8C39-F3A4E24CD23B}"/>
                </c:ext>
              </c:extLst>
            </c:dLbl>
            <c:dLbl>
              <c:idx val="2"/>
              <c:layout>
                <c:manualLayout>
                  <c:x val="9.9344105408005982E-3"/>
                  <c:y val="-3.9613619053059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G6'!$D$3:$D$5</c:f>
              <c:numCache>
                <c:formatCode>0.0%</c:formatCode>
                <c:ptCount val="3"/>
                <c:pt idx="0">
                  <c:v>-6.8733153638814007E-2</c:v>
                </c:pt>
                <c:pt idx="2">
                  <c:v>-0.29514824797843664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8B-6741-8C39-F3A4E24CD23B}"/>
            </c:ext>
          </c:extLst>
        </c:ser>
        <c:ser>
          <c:idx val="2"/>
          <c:order val="2"/>
          <c:tx>
            <c:strRef>
              <c:f>' G6'!$E$2</c:f>
              <c:strCache>
                <c:ptCount val="1"/>
                <c:pt idx="0">
                  <c:v>taux de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781669328408969E-2"/>
                  <c:y val="-3.341634047945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B-6741-8C39-F3A4E24CD2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B-6741-8C39-F3A4E24CD23B}"/>
                </c:ext>
              </c:extLst>
            </c:dLbl>
            <c:dLbl>
              <c:idx val="2"/>
              <c:layout>
                <c:manualLayout>
                  <c:x val="1.1353612046629271E-2"/>
                  <c:y val="-2.7234363098978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B-6741-8C39-F3A4E24CD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G6'!$B$3:$B$5</c:f>
              <c:strCache>
                <c:ptCount val="3"/>
                <c:pt idx="0">
                  <c:v>né dans un drom, réside dans l'hexagone </c:v>
                </c:pt>
                <c:pt idx="1">
                  <c:v>né dans l'hexagone, réside dans l'hexagone </c:v>
                </c:pt>
                <c:pt idx="2">
                  <c:v>né dans un drom, réside dans un drom</c:v>
                </c:pt>
              </c:strCache>
            </c:strRef>
          </c:cat>
          <c:val>
            <c:numRef>
              <c:f>' G6'!$E$3:$E$5</c:f>
              <c:numCache>
                <c:formatCode>0.0%</c:formatCode>
                <c:ptCount val="3"/>
                <c:pt idx="0">
                  <c:v>-0.17054263565891473</c:v>
                </c:pt>
                <c:pt idx="2">
                  <c:v>-0.15503875968992248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8B-6741-8C39-F3A4E24CD2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1337039"/>
        <c:axId val="217797103"/>
      </c:barChart>
      <c:catAx>
        <c:axId val="27133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797103"/>
        <c:crosses val="autoZero"/>
        <c:auto val="1"/>
        <c:lblAlgn val="ctr"/>
        <c:lblOffset val="100"/>
        <c:noMultiLvlLbl val="0"/>
      </c:catAx>
      <c:valAx>
        <c:axId val="21779710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7133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148150214907098"/>
          <c:y val="1.8360809516405972E-2"/>
          <c:w val="0.39707201967125033"/>
          <c:h val="4.178028126839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G7'!$C$1</c:f>
              <c:strCache>
                <c:ptCount val="1"/>
                <c:pt idx="0">
                  <c:v>taux de diplômé du supérieur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3298927355025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C-D041-AC39-A9C2EA8D9789}"/>
                </c:ext>
              </c:extLst>
            </c:dLbl>
            <c:dLbl>
              <c:idx val="2"/>
              <c:layout>
                <c:manualLayout>
                  <c:x val="-1.610488924147747E-3"/>
                  <c:y val="-6.10480334842126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G7'!$C$2:$C$4</c:f>
              <c:numCache>
                <c:formatCode>0.0%</c:formatCode>
                <c:ptCount val="3"/>
                <c:pt idx="0" formatCode="0%">
                  <c:v>0.15373961218836563</c:v>
                </c:pt>
                <c:pt idx="1">
                  <c:v>0</c:v>
                </c:pt>
                <c:pt idx="2" formatCode="0%">
                  <c:v>-0.17590027700831024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C-D041-AC39-A9C2EA8D9789}"/>
            </c:ext>
          </c:extLst>
        </c:ser>
        <c:ser>
          <c:idx val="1"/>
          <c:order val="1"/>
          <c:tx>
            <c:strRef>
              <c:f>' G7'!$D$1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0488924147747E-3"/>
                  <c:y val="-4.717348041961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G7'!$D$2:$D$4</c:f>
              <c:numCache>
                <c:formatCode>0.0%</c:formatCode>
                <c:ptCount val="3"/>
                <c:pt idx="0" formatCode="0%">
                  <c:v>-9.6577017114914426E-2</c:v>
                </c:pt>
                <c:pt idx="1">
                  <c:v>0</c:v>
                </c:pt>
                <c:pt idx="2" formatCode="0%">
                  <c:v>-0.17603911980440098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4C-D041-AC39-A9C2EA8D9789}"/>
            </c:ext>
          </c:extLst>
        </c:ser>
        <c:ser>
          <c:idx val="2"/>
          <c:order val="2"/>
          <c:tx>
            <c:strRef>
              <c:f>' G7'!$E$1</c:f>
              <c:strCache>
                <c:ptCount val="1"/>
                <c:pt idx="0">
                  <c:v>taux de cadre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04889241477471E-2"/>
                  <c:y val="-5.82731228712939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C-D041-AC39-A9C2EA8D97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C-D041-AC39-A9C2EA8D9789}"/>
                </c:ext>
              </c:extLst>
            </c:dLbl>
            <c:dLbl>
              <c:idx val="2"/>
              <c:layout>
                <c:manualLayout>
                  <c:x val="2.6064558540891961E-2"/>
                  <c:y val="-1.605231165348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C-D041-AC39-A9C2EA8D9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cap="sm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badi MT Condensed Light" panose="020B0306030101010103" pitchFamily="34" charset="77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 G7'!$A$2:$B$4</c:f>
              <c:multiLvlStrCache>
                <c:ptCount val="3"/>
                <c:lvl>
                  <c:pt idx="0">
                    <c:v>né dans un drom, réside dans l'hexagone </c:v>
                  </c:pt>
                  <c:pt idx="1">
                    <c:v>né dans l'hexagone, réside dans l'hexagone </c:v>
                  </c:pt>
                  <c:pt idx="2">
                    <c:v>né dans un drom, réside dans un drom</c:v>
                  </c:pt>
                </c:lvl>
                <c:lvl>
                  <c:pt idx="0">
                    <c:v>origine sociale favorisée</c:v>
                  </c:pt>
                </c:lvl>
              </c:multiLvlStrCache>
            </c:multiLvlStrRef>
          </c:cat>
          <c:val>
            <c:numRef>
              <c:f>' G7'!$E$2:$E$4</c:f>
              <c:numCache>
                <c:formatCode>0.0%</c:formatCode>
                <c:ptCount val="3"/>
                <c:pt idx="0" formatCode="0%">
                  <c:v>-0.2168284789644013</c:v>
                </c:pt>
                <c:pt idx="1">
                  <c:v>0</c:v>
                </c:pt>
                <c:pt idx="2" formatCode="0%">
                  <c:v>-0.13268608414239483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4C-D041-AC39-A9C2EA8D9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98679103"/>
        <c:axId val="217474303"/>
      </c:barChart>
      <c:catAx>
        <c:axId val="298679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74303"/>
        <c:crosses val="autoZero"/>
        <c:auto val="1"/>
        <c:lblAlgn val="ctr"/>
        <c:lblOffset val="100"/>
        <c:noMultiLvlLbl val="0"/>
      </c:catAx>
      <c:valAx>
        <c:axId val="21747430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9867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G8'!$C$2</c:f>
              <c:strCache>
                <c:ptCount val="1"/>
                <c:pt idx="0">
                  <c:v>antilles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G8'!$B$3:$B$5</c:f>
              <c:strCache>
                <c:ptCount val="3"/>
                <c:pt idx="0">
                  <c:v>favorisé</c:v>
                </c:pt>
                <c:pt idx="1">
                  <c:v>intermédiaire</c:v>
                </c:pt>
                <c:pt idx="2">
                  <c:v>modeste</c:v>
                </c:pt>
              </c:strCache>
            </c:strRef>
          </c:cat>
          <c:val>
            <c:numRef>
              <c:f>' G8'!$C$3:$C$5</c:f>
              <c:numCache>
                <c:formatCode>0.0%</c:formatCode>
                <c:ptCount val="3"/>
                <c:pt idx="0">
                  <c:v>0.58764530000000004</c:v>
                </c:pt>
                <c:pt idx="1">
                  <c:v>0.35714780000000002</c:v>
                </c:pt>
                <c:pt idx="2">
                  <c:v>0.33854309999999999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B-0049-AA3B-C73943FB6404}"/>
            </c:ext>
          </c:extLst>
        </c:ser>
        <c:ser>
          <c:idx val="1"/>
          <c:order val="1"/>
          <c:tx>
            <c:strRef>
              <c:f>' G8'!$D$2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G8'!$B$3:$B$5</c:f>
              <c:strCache>
                <c:ptCount val="3"/>
                <c:pt idx="0">
                  <c:v>favorisé</c:v>
                </c:pt>
                <c:pt idx="1">
                  <c:v>intermédiaire</c:v>
                </c:pt>
                <c:pt idx="2">
                  <c:v>modeste</c:v>
                </c:pt>
              </c:strCache>
            </c:strRef>
          </c:cat>
          <c:val>
            <c:numRef>
              <c:f>' G8'!$D$3:$D$5</c:f>
              <c:numCache>
                <c:formatCode>0.0%</c:formatCode>
                <c:ptCount val="3"/>
                <c:pt idx="0">
                  <c:v>0.46981620000000002</c:v>
                </c:pt>
                <c:pt idx="1">
                  <c:v>0.20094200000000001</c:v>
                </c:pt>
                <c:pt idx="2">
                  <c:v>0.1092972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B-0049-AA3B-C73943FB64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81306575"/>
        <c:axId val="381310543"/>
      </c:barChart>
      <c:catAx>
        <c:axId val="38130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small" spc="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310543"/>
        <c:crosses val="autoZero"/>
        <c:auto val="1"/>
        <c:lblAlgn val="ctr"/>
        <c:lblOffset val="100"/>
        <c:noMultiLvlLbl val="0"/>
      </c:catAx>
      <c:valAx>
        <c:axId val="38131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30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small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7</xdr:col>
      <xdr:colOff>372629</xdr:colOff>
      <xdr:row>39</xdr:row>
      <xdr:rowOff>30977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3729BE5-E237-9F43-84E1-20DF2A3EA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561" y="929268"/>
          <a:ext cx="8255922" cy="5591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814917</xdr:colOff>
      <xdr:row>10</xdr:row>
      <xdr:rowOff>21167</xdr:rowOff>
    </xdr:from>
    <xdr:to>
      <xdr:col>10</xdr:col>
      <xdr:colOff>809625</xdr:colOff>
      <xdr:row>30</xdr:row>
      <xdr:rowOff>169333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DCD24B6-CDCE-AA41-AB9E-9A0A440C8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0.73001</cdr:x>
      <cdr:y>0.8144</cdr:y>
    </cdr:from>
    <cdr:to>
      <cdr:x>0.7859</cdr:x>
      <cdr:y>0.92631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6428208" y="4573681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0.79032</cdr:x>
      <cdr:y>0.67812</cdr:y>
    </cdr:from>
    <cdr:to>
      <cdr:x>0.84621</cdr:x>
      <cdr:y>0.79003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6964368" y="3818646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0.85561</cdr:x>
      <cdr:y>0.36239</cdr:y>
    </cdr:from>
    <cdr:to>
      <cdr:x>0.91149</cdr:x>
      <cdr:y>0.4743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7544747" y="2069421"/>
          <a:ext cx="620024" cy="49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0.0915</cdr:x>
      <cdr:y>0.22268</cdr:y>
    </cdr:from>
    <cdr:to>
      <cdr:x>0.14739</cdr:x>
      <cdr:y>0.33459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0BD4C321-C92C-FC22-8B88-DF280A973EC7}"/>
            </a:ext>
          </a:extLst>
        </cdr:cNvPr>
        <cdr:cNvSpPr txBox="1"/>
      </cdr:nvSpPr>
      <cdr:spPr>
        <a:xfrm xmlns:a="http://schemas.openxmlformats.org/drawingml/2006/main" rot="16200000">
          <a:off x="751851" y="1295284"/>
          <a:ext cx="620023" cy="4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0.15523</cdr:x>
      <cdr:y>0.17849</cdr:y>
    </cdr:from>
    <cdr:to>
      <cdr:x>0.21112</cdr:x>
      <cdr:y>0.2904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CDAE76CD-9FFA-C9F9-4DF6-F5214E9FB019}"/>
            </a:ext>
          </a:extLst>
        </cdr:cNvPr>
        <cdr:cNvSpPr txBox="1"/>
      </cdr:nvSpPr>
      <cdr:spPr>
        <a:xfrm xmlns:a="http://schemas.openxmlformats.org/drawingml/2006/main" rot="16200000">
          <a:off x="1318411" y="1050469"/>
          <a:ext cx="620023" cy="4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</a:p>
        <a:p xmlns:a="http://schemas.openxmlformats.org/drawingml/2006/main">
          <a:endParaRPr lang="fr-FR" sz="800"/>
        </a:p>
      </cdr:txBody>
    </cdr:sp>
  </cdr:relSizeAnchor>
  <cdr:relSizeAnchor xmlns:cdr="http://schemas.openxmlformats.org/drawingml/2006/chartDrawing">
    <cdr:from>
      <cdr:x>0.2306</cdr:x>
      <cdr:y>0.39639</cdr:y>
    </cdr:from>
    <cdr:to>
      <cdr:x>0.28649</cdr:x>
      <cdr:y>0.5083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EBEFEB72-D055-3F12-951B-4D80AD7E701C}"/>
            </a:ext>
          </a:extLst>
        </cdr:cNvPr>
        <cdr:cNvSpPr txBox="1"/>
      </cdr:nvSpPr>
      <cdr:spPr>
        <a:xfrm xmlns:a="http://schemas.openxmlformats.org/drawingml/2006/main" rot="16200000">
          <a:off x="1988450" y="2257738"/>
          <a:ext cx="620023" cy="49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</a:t>
          </a:r>
        </a:p>
        <a:p xmlns:a="http://schemas.openxmlformats.org/drawingml/2006/main">
          <a:endParaRPr lang="fr-FR" sz="8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814916</xdr:colOff>
      <xdr:row>6</xdr:row>
      <xdr:rowOff>21166</xdr:rowOff>
    </xdr:from>
    <xdr:to>
      <xdr:col>10</xdr:col>
      <xdr:colOff>825499</xdr:colOff>
      <xdr:row>26</xdr:row>
      <xdr:rowOff>9769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92CA69-E4FE-EC4B-8339-28137B81C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0.09475</cdr:x>
      <cdr:y>0.02238</cdr:y>
    </cdr:from>
    <cdr:to>
      <cdr:x>0.12228</cdr:x>
      <cdr:y>0.11072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672340" y="224597"/>
          <a:ext cx="449198" cy="227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0.80189</cdr:x>
      <cdr:y>0.72438</cdr:y>
    </cdr:from>
    <cdr:to>
      <cdr:x>0.85328</cdr:x>
      <cdr:y>0.87256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6496970" y="3489951"/>
          <a:ext cx="687081" cy="424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0.73531</cdr:x>
      <cdr:y>0.77059</cdr:y>
    </cdr:from>
    <cdr:to>
      <cdr:x>0.7867</cdr:x>
      <cdr:y>0.91878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B15D3FBD-8664-8F72-17BD-5D58BDCA0106}"/>
            </a:ext>
          </a:extLst>
        </cdr:cNvPr>
        <cdr:cNvSpPr txBox="1"/>
      </cdr:nvSpPr>
      <cdr:spPr>
        <a:xfrm xmlns:a="http://schemas.openxmlformats.org/drawingml/2006/main" rot="16200000">
          <a:off x="5913419" y="4082396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0.24133</cdr:x>
      <cdr:y>0.82542</cdr:y>
    </cdr:from>
    <cdr:to>
      <cdr:x>0.29272</cdr:x>
      <cdr:y>0.97361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205EA1BD-C319-20AB-6D76-44991E878C2D}"/>
            </a:ext>
          </a:extLst>
        </cdr:cNvPr>
        <cdr:cNvSpPr txBox="1"/>
      </cdr:nvSpPr>
      <cdr:spPr>
        <a:xfrm xmlns:a="http://schemas.openxmlformats.org/drawingml/2006/main" rot="16200000">
          <a:off x="1830359" y="4361192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0.1628</cdr:x>
      <cdr:y>0.60302</cdr:y>
    </cdr:from>
    <cdr:to>
      <cdr:x>0.21419</cdr:x>
      <cdr:y>0.75121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205EA1BD-C319-20AB-6D76-44991E878C2D}"/>
            </a:ext>
          </a:extLst>
        </cdr:cNvPr>
        <cdr:cNvSpPr txBox="1"/>
      </cdr:nvSpPr>
      <cdr:spPr>
        <a:xfrm xmlns:a="http://schemas.openxmlformats.org/drawingml/2006/main" rot="16200000">
          <a:off x="1181246" y="3230386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</a:t>
          </a:r>
          <a:endParaRPr lang="fr-FR" sz="800"/>
        </a:p>
      </cdr:txBody>
    </cdr:sp>
  </cdr:relSizeAnchor>
  <cdr:relSizeAnchor xmlns:cdr="http://schemas.openxmlformats.org/drawingml/2006/chartDrawing">
    <cdr:from>
      <cdr:x>0.89678</cdr:x>
      <cdr:y>0.64278</cdr:y>
    </cdr:from>
    <cdr:to>
      <cdr:x>0.94817</cdr:x>
      <cdr:y>0.79097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E32615FA-59CA-95AD-AF50-19AAD97C1D28}"/>
            </a:ext>
          </a:extLst>
        </cdr:cNvPr>
        <cdr:cNvSpPr txBox="1"/>
      </cdr:nvSpPr>
      <cdr:spPr>
        <a:xfrm xmlns:a="http://schemas.openxmlformats.org/drawingml/2006/main" rot="16200000">
          <a:off x="7248068" y="3432564"/>
          <a:ext cx="753469" cy="424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804333</xdr:colOff>
      <xdr:row>8</xdr:row>
      <xdr:rowOff>74083</xdr:rowOff>
    </xdr:from>
    <xdr:to>
      <xdr:col>8</xdr:col>
      <xdr:colOff>783167</xdr:colOff>
      <xdr:row>24</xdr:row>
      <xdr:rowOff>179917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0BCFBB6-543C-D540-85E4-CDDEA476B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232317</xdr:colOff>
      <xdr:row>4</xdr:row>
      <xdr:rowOff>108414</xdr:rowOff>
    </xdr:from>
    <xdr:to>
      <xdr:col>6</xdr:col>
      <xdr:colOff>480122</xdr:colOff>
      <xdr:row>39</xdr:row>
      <xdr:rowOff>171991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6C6B0E2-A603-E93C-046E-C33F6FC27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171" y="851829"/>
          <a:ext cx="7681951" cy="58095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820208</xdr:colOff>
      <xdr:row>12</xdr:row>
      <xdr:rowOff>136523</xdr:rowOff>
    </xdr:from>
    <xdr:to>
      <xdr:col>9</xdr:col>
      <xdr:colOff>275166</xdr:colOff>
      <xdr:row>30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16B3C5D-283A-A04D-B226-FF4719387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0.09392</cdr:x>
      <cdr:y>0.24008</cdr:y>
    </cdr:from>
    <cdr:to>
      <cdr:x>0.14938</cdr:x>
      <cdr:y>0.33304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06D9F11E-AB98-1D5E-DD56-A635F55834A0}"/>
            </a:ext>
          </a:extLst>
        </cdr:cNvPr>
        <cdr:cNvSpPr txBox="1"/>
      </cdr:nvSpPr>
      <cdr:spPr>
        <a:xfrm xmlns:a="http://schemas.openxmlformats.org/drawingml/2006/main" rot="16200000">
          <a:off x="605386" y="1264394"/>
          <a:ext cx="472393" cy="383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0.22462</cdr:x>
      <cdr:y>0.74839</cdr:y>
    </cdr:from>
    <cdr:to>
      <cdr:x>0.28117</cdr:x>
      <cdr:y>0.82802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1547222" y="3809777"/>
          <a:ext cx="404654" cy="391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0.16004</cdr:x>
      <cdr:y>0.26441</cdr:y>
    </cdr:from>
    <cdr:to>
      <cdr:x>0.2155</cdr:x>
      <cdr:y>0.35737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1062810" y="1388007"/>
          <a:ext cx="472393" cy="383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0.73133</cdr:x>
      <cdr:y>0.3838</cdr:y>
    </cdr:from>
    <cdr:to>
      <cdr:x>0.78679</cdr:x>
      <cdr:y>0.47677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5015012" y="1994725"/>
          <a:ext cx="472444" cy="383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0.86055</cdr:x>
      <cdr:y>0.50414</cdr:y>
    </cdr:from>
    <cdr:to>
      <cdr:x>0.91601</cdr:x>
      <cdr:y>0.5971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5140794" y="2650724"/>
          <a:ext cx="475866" cy="335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0.79935</cdr:x>
      <cdr:y>0.42741</cdr:y>
    </cdr:from>
    <cdr:to>
      <cdr:x>0.85481</cdr:x>
      <cdr:y>0.52037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CD32A0BA-D377-CB40-69E4-8C80E925AD13}"/>
            </a:ext>
          </a:extLst>
        </cdr:cNvPr>
        <cdr:cNvSpPr txBox="1"/>
      </cdr:nvSpPr>
      <cdr:spPr>
        <a:xfrm xmlns:a="http://schemas.openxmlformats.org/drawingml/2006/main" rot="16200000">
          <a:off x="5485602" y="2216297"/>
          <a:ext cx="472393" cy="383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500"/>
            <a:t>***</a:t>
          </a:r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825499</xdr:colOff>
      <xdr:row>9</xdr:row>
      <xdr:rowOff>178856</xdr:rowOff>
    </xdr:from>
    <xdr:to>
      <xdr:col>11</xdr:col>
      <xdr:colOff>21167</xdr:colOff>
      <xdr:row>24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C6B3B5B-2366-8648-9937-08B793412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0.68742</cdr:x>
      <cdr:y>0.11297</cdr:y>
    </cdr:from>
    <cdr:to>
      <cdr:x>0.72834</cdr:x>
      <cdr:y>0.15719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DA6126F-9EE0-771B-C2E7-1E3B147DC5AD}"/>
            </a:ext>
          </a:extLst>
        </cdr:cNvPr>
        <cdr:cNvSpPr txBox="1"/>
      </cdr:nvSpPr>
      <cdr:spPr>
        <a:xfrm xmlns:a="http://schemas.openxmlformats.org/drawingml/2006/main">
          <a:off x="5721224" y="480514"/>
          <a:ext cx="340567" cy="188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0.48797</cdr:x>
      <cdr:y>0.19616</cdr:y>
    </cdr:from>
    <cdr:to>
      <cdr:x>0.52889</cdr:x>
      <cdr:y>0.24038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4061224" y="834360"/>
          <a:ext cx="340566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0.8398</cdr:x>
      <cdr:y>0.28081</cdr:y>
    </cdr:from>
    <cdr:to>
      <cdr:x>0.88072</cdr:x>
      <cdr:y>0.32503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6989439" y="1194407"/>
          <a:ext cx="340566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0.78391</cdr:x>
      <cdr:y>0.52555</cdr:y>
    </cdr:from>
    <cdr:to>
      <cdr:x>0.82483</cdr:x>
      <cdr:y>0.56978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5723644" y="2431675"/>
          <a:ext cx="298776" cy="20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0.44069</cdr:x>
      <cdr:y>0.60965</cdr:y>
    </cdr:from>
    <cdr:to>
      <cdr:x>0.48161</cdr:x>
      <cdr:y>0.65388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3217682" y="2820802"/>
          <a:ext cx="298775" cy="204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  <cdr:relSizeAnchor xmlns:cdr="http://schemas.openxmlformats.org/drawingml/2006/chartDrawing">
    <cdr:from>
      <cdr:x>0.73222</cdr:x>
      <cdr:y>0.70194</cdr:y>
    </cdr:from>
    <cdr:to>
      <cdr:x>0.77314</cdr:x>
      <cdr:y>0.74616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201E25DB-B140-DE2A-AB9E-885D03EC5F58}"/>
            </a:ext>
          </a:extLst>
        </cdr:cNvPr>
        <cdr:cNvSpPr txBox="1"/>
      </cdr:nvSpPr>
      <cdr:spPr>
        <a:xfrm xmlns:a="http://schemas.openxmlformats.org/drawingml/2006/main">
          <a:off x="5346290" y="3247834"/>
          <a:ext cx="298775" cy="20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400"/>
            <a:t>***</a:t>
          </a:r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814915</xdr:colOff>
      <xdr:row>11</xdr:row>
      <xdr:rowOff>0</xdr:rowOff>
    </xdr:from>
    <xdr:to>
      <xdr:col>9</xdr:col>
      <xdr:colOff>328084</xdr:colOff>
      <xdr:row>27</xdr:row>
      <xdr:rowOff>179916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8583AE-BBDD-5B4E-BCB2-F45D6AD2C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22</xdr:row>
      <xdr:rowOff>152400</xdr:rowOff>
    </xdr:from>
    <xdr:to>
      <xdr:col>7</xdr:col>
      <xdr:colOff>133350</xdr:colOff>
      <xdr:row>49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883A02-7E76-944F-86CF-2DD9D0249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0.44678</cdr:x>
      <cdr:y>0.00632</cdr:y>
    </cdr:from>
    <cdr:to>
      <cdr:x>0.52104</cdr:x>
      <cdr:y>0.08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DF09165-672C-65C4-BB37-2595E9B116A0}"/>
            </a:ext>
          </a:extLst>
        </cdr:cNvPr>
        <cdr:cNvSpPr txBox="1"/>
      </cdr:nvSpPr>
      <cdr:spPr>
        <a:xfrm xmlns:a="http://schemas.openxmlformats.org/drawingml/2006/main">
          <a:off x="3438525" y="285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2020</a:t>
          </a:r>
          <a:endParaRPr lang="fr-FR" sz="1100" b="1"/>
        </a:p>
      </cdr:txBody>
    </cdr:sp>
  </cdr:relSizeAnchor>
  <cdr:relSizeAnchor xmlns:cdr="http://schemas.openxmlformats.org/drawingml/2006/chartDrawing">
    <cdr:from>
      <cdr:x>0.9154</cdr:x>
      <cdr:y>0.12828</cdr:y>
    </cdr:from>
    <cdr:to>
      <cdr:x>0.98578</cdr:x>
      <cdr:y>0.17993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4F804DD3-B98E-0422-F698-F369DA9CE34F}"/>
            </a:ext>
          </a:extLst>
        </cdr:cNvPr>
        <cdr:cNvSpPr txBox="1"/>
      </cdr:nvSpPr>
      <cdr:spPr>
        <a:xfrm xmlns:a="http://schemas.openxmlformats.org/drawingml/2006/main">
          <a:off x="7777476" y="653678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81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0.92212</cdr:x>
      <cdr:y>0.22071</cdr:y>
    </cdr:from>
    <cdr:to>
      <cdr:x>0.9925</cdr:x>
      <cdr:y>0.27236</cdr:y>
    </cdr:to>
    <cdr:sp macro="" textlink="">
      <cdr:nvSpPr>
        <cdr:cNvPr id="4" name="ZoneTexte 9">
          <a:extLst xmlns:a="http://schemas.openxmlformats.org/drawingml/2006/main">
            <a:ext uri="{FF2B5EF4-FFF2-40B4-BE49-F238E27FC236}">
              <a16:creationId xmlns:a16="http://schemas.microsoft.com/office/drawing/2014/main" id="{037C6FC3-C1BF-B269-05BB-5FF8F7362234}"/>
            </a:ext>
          </a:extLst>
        </cdr:cNvPr>
        <cdr:cNvSpPr txBox="1"/>
      </cdr:nvSpPr>
      <cdr:spPr>
        <a:xfrm xmlns:a="http://schemas.openxmlformats.org/drawingml/2006/main">
          <a:off x="7834626" y="1124712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64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0.92072</cdr:x>
      <cdr:y>0.39657</cdr:y>
    </cdr:from>
    <cdr:to>
      <cdr:x>0.9911</cdr:x>
      <cdr:y>0.44822</cdr:y>
    </cdr:to>
    <cdr:sp macro="" textlink="">
      <cdr:nvSpPr>
        <cdr:cNvPr id="5" name="ZoneTexte 14">
          <a:extLst xmlns:a="http://schemas.openxmlformats.org/drawingml/2006/main">
            <a:ext uri="{FF2B5EF4-FFF2-40B4-BE49-F238E27FC236}">
              <a16:creationId xmlns:a16="http://schemas.microsoft.com/office/drawing/2014/main" id="{DB0EC0AC-D780-A963-01F5-A3D1DE9807EF}"/>
            </a:ext>
          </a:extLst>
        </cdr:cNvPr>
        <cdr:cNvSpPr txBox="1"/>
      </cdr:nvSpPr>
      <cdr:spPr>
        <a:xfrm xmlns:a="http://schemas.openxmlformats.org/drawingml/2006/main">
          <a:off x="7822732" y="202088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239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0.92436</cdr:x>
      <cdr:y>0.48106</cdr:y>
    </cdr:from>
    <cdr:to>
      <cdr:x>0.99474</cdr:x>
      <cdr:y>0.53271</cdr:y>
    </cdr:to>
    <cdr:sp macro="" textlink="">
      <cdr:nvSpPr>
        <cdr:cNvPr id="6" name="ZoneTexte 15">
          <a:extLst xmlns:a="http://schemas.openxmlformats.org/drawingml/2006/main">
            <a:ext uri="{FF2B5EF4-FFF2-40B4-BE49-F238E27FC236}">
              <a16:creationId xmlns:a16="http://schemas.microsoft.com/office/drawing/2014/main" id="{B2237229-B05F-492A-BD61-0F88B130D1BC}"/>
            </a:ext>
          </a:extLst>
        </cdr:cNvPr>
        <cdr:cNvSpPr txBox="1"/>
      </cdr:nvSpPr>
      <cdr:spPr>
        <a:xfrm xmlns:a="http://schemas.openxmlformats.org/drawingml/2006/main">
          <a:off x="7853637" y="2451436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299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0.65552</cdr:y>
    </cdr:from>
    <cdr:to>
      <cdr:x>1</cdr:x>
      <cdr:y>0.70717</cdr:y>
    </cdr:to>
    <cdr:sp macro="" textlink="">
      <cdr:nvSpPr>
        <cdr:cNvPr id="7" name="ZoneTexte 16">
          <a:extLst xmlns:a="http://schemas.openxmlformats.org/drawingml/2006/main">
            <a:ext uri="{FF2B5EF4-FFF2-40B4-BE49-F238E27FC236}">
              <a16:creationId xmlns:a16="http://schemas.microsoft.com/office/drawing/2014/main" id="{0F855DE5-48B7-FA8B-4C4B-76D72842993D}"/>
            </a:ext>
          </a:extLst>
        </cdr:cNvPr>
        <cdr:cNvSpPr txBox="1"/>
      </cdr:nvSpPr>
      <cdr:spPr>
        <a:xfrm xmlns:a="http://schemas.openxmlformats.org/drawingml/2006/main">
          <a:off x="7898330" y="3340470"/>
          <a:ext cx="597970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309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0.74909</cdr:y>
    </cdr:from>
    <cdr:to>
      <cdr:x>1</cdr:x>
      <cdr:y>0.80074</cdr:y>
    </cdr:to>
    <cdr:sp macro="" textlink="">
      <cdr:nvSpPr>
        <cdr:cNvPr id="8" name="ZoneTexte 17">
          <a:extLst xmlns:a="http://schemas.openxmlformats.org/drawingml/2006/main">
            <a:ext uri="{FF2B5EF4-FFF2-40B4-BE49-F238E27FC236}">
              <a16:creationId xmlns:a16="http://schemas.microsoft.com/office/drawing/2014/main" id="{12DDF4C6-F706-0B41-4C37-CB4CF4B47D62}"/>
            </a:ext>
          </a:extLst>
        </cdr:cNvPr>
        <cdr:cNvSpPr txBox="1"/>
      </cdr:nvSpPr>
      <cdr:spPr>
        <a:xfrm xmlns:a="http://schemas.openxmlformats.org/drawingml/2006/main">
          <a:off x="7898331" y="3817288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610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0.01233</cdr:x>
      <cdr:y>0.2972</cdr:y>
    </cdr:from>
    <cdr:to>
      <cdr:x>0.04709</cdr:x>
      <cdr:y>0.63551</cdr:y>
    </cdr:to>
    <cdr:sp macro="" textlink="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3A83FA89-A979-83B5-2F27-C8E6501E490D}"/>
            </a:ext>
          </a:extLst>
        </cdr:cNvPr>
        <cdr:cNvSpPr txBox="1"/>
      </cdr:nvSpPr>
      <cdr:spPr>
        <a:xfrm xmlns:a="http://schemas.openxmlformats.org/drawingml/2006/main" rot="16200000">
          <a:off x="-609600" y="2228850"/>
          <a:ext cx="17240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/>
            <a:t>Diplôme de la mère</a:t>
          </a:r>
        </a:p>
      </cdr:txBody>
    </cdr:sp>
  </cdr:relSizeAnchor>
  <cdr:relSizeAnchor xmlns:cdr="http://schemas.openxmlformats.org/drawingml/2006/chartDrawing">
    <cdr:from>
      <cdr:x>0.57063</cdr:x>
      <cdr:y>0.03053</cdr:y>
    </cdr:from>
    <cdr:to>
      <cdr:x>0.80605</cdr:x>
      <cdr:y>0.08847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8F7676AD-A4FE-B95B-B977-F76629495F6D}"/>
            </a:ext>
          </a:extLst>
        </cdr:cNvPr>
        <cdr:cNvSpPr txBox="1"/>
      </cdr:nvSpPr>
      <cdr:spPr>
        <a:xfrm xmlns:a="http://schemas.openxmlformats.org/drawingml/2006/main">
          <a:off x="4848225" y="155575"/>
          <a:ext cx="20002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Diplôme des</a:t>
          </a:r>
          <a:r>
            <a:rPr lang="fr-FR" sz="1100" baseline="0"/>
            <a:t> enfants</a:t>
          </a:r>
          <a:endParaRPr lang="fr-FR" sz="1100"/>
        </a:p>
      </cdr:txBody>
    </cdr:sp>
  </cdr:relSizeAnchor>
  <cdr:relSizeAnchor xmlns:cdr="http://schemas.openxmlformats.org/drawingml/2006/chartDrawing">
    <cdr:from>
      <cdr:x>0.9219</cdr:x>
      <cdr:y>0.30717</cdr:y>
    </cdr:from>
    <cdr:to>
      <cdr:x>0.99228</cdr:x>
      <cdr:y>0.35882</cdr:y>
    </cdr:to>
    <cdr:sp macro="" textlink="">
      <cdr:nvSpPr>
        <cdr:cNvPr id="11" name="ZoneTexte 14">
          <a:extLst xmlns:a="http://schemas.openxmlformats.org/drawingml/2006/main">
            <a:ext uri="{FF2B5EF4-FFF2-40B4-BE49-F238E27FC236}">
              <a16:creationId xmlns:a16="http://schemas.microsoft.com/office/drawing/2014/main" id="{D47E1349-D77B-A9B3-8814-D75E3E699D5B}"/>
            </a:ext>
          </a:extLst>
        </cdr:cNvPr>
        <cdr:cNvSpPr txBox="1"/>
      </cdr:nvSpPr>
      <cdr:spPr>
        <a:xfrm xmlns:a="http://schemas.openxmlformats.org/drawingml/2006/main">
          <a:off x="7832725" y="1565275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145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0.9275</cdr:x>
      <cdr:y>0.57072</cdr:y>
    </cdr:from>
    <cdr:to>
      <cdr:x>0.99788</cdr:x>
      <cdr:y>0.62237</cdr:y>
    </cdr:to>
    <cdr:sp macro="" textlink="">
      <cdr:nvSpPr>
        <cdr:cNvPr id="12" name="ZoneTexte 14">
          <a:extLst xmlns:a="http://schemas.openxmlformats.org/drawingml/2006/main">
            <a:ext uri="{FF2B5EF4-FFF2-40B4-BE49-F238E27FC236}">
              <a16:creationId xmlns:a16="http://schemas.microsoft.com/office/drawing/2014/main" id="{C1A1C61A-1F80-092E-20C6-1B8F13DEF335}"/>
            </a:ext>
          </a:extLst>
        </cdr:cNvPr>
        <cdr:cNvSpPr txBox="1"/>
      </cdr:nvSpPr>
      <cdr:spPr>
        <a:xfrm xmlns:a="http://schemas.openxmlformats.org/drawingml/2006/main">
          <a:off x="7880350" y="290830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538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0.92962</cdr:x>
      <cdr:y>0.84361</cdr:y>
    </cdr:from>
    <cdr:to>
      <cdr:x>1</cdr:x>
      <cdr:y>0.89526</cdr:y>
    </cdr:to>
    <cdr:sp macro="" textlink="">
      <cdr:nvSpPr>
        <cdr:cNvPr id="13" name="ZoneTexte 17">
          <a:extLst xmlns:a="http://schemas.openxmlformats.org/drawingml/2006/main">
            <a:ext uri="{FF2B5EF4-FFF2-40B4-BE49-F238E27FC236}">
              <a16:creationId xmlns:a16="http://schemas.microsoft.com/office/drawing/2014/main" id="{E391C49A-BB47-2936-5505-D85E11A9241A}"/>
            </a:ext>
          </a:extLst>
        </cdr:cNvPr>
        <cdr:cNvSpPr txBox="1"/>
      </cdr:nvSpPr>
      <cdr:spPr>
        <a:xfrm xmlns:a="http://schemas.openxmlformats.org/drawingml/2006/main">
          <a:off x="7898331" y="4298950"/>
          <a:ext cx="597969" cy="2632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fr-FR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 = 919</a:t>
          </a:r>
          <a:endParaRPr lang="fr-FR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32"/>
  <sheetViews>
    <sheetView showGridLines="0" zoomScale="82" zoomScaleNormal="82" workbookViewId="0">
      <selection activeCell="C48" sqref="C48"/>
    </sheetView>
  </sheetViews>
  <sheetFormatPr baseColWidth="10" defaultRowHeight="15"/>
  <cols>
    <col min="2" max="2" width="4.85546875" customWidth="1"/>
    <col min="3" max="3" width="60.28515625" customWidth="1"/>
    <col min="11" max="11" width="5.42578125" customWidth="1"/>
  </cols>
  <sheetData>
    <row r="3" spans="3:3">
      <c r="C3" s="1" t="s">
        <v>192</v>
      </c>
    </row>
    <row r="9" spans="3:3" ht="5.45" customHeight="1"/>
    <row r="15" spans="3:3" ht="6" customHeight="1"/>
    <row r="20" s="9" customFormat="1" ht="5.0999999999999996" customHeight="1"/>
    <row r="23" s="9" customFormat="1" ht="5.0999999999999996" customHeight="1"/>
    <row r="27" s="9" customFormat="1" ht="4.5" customHeight="1"/>
    <row r="32" s="9" customFormat="1" ht="4.5" customHeight="1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04"/>
  <sheetViews>
    <sheetView topLeftCell="A16" zoomScale="180" zoomScaleNormal="180" workbookViewId="0">
      <selection activeCell="B10" sqref="B10"/>
    </sheetView>
  </sheetViews>
  <sheetFormatPr baseColWidth="10" defaultColWidth="10.85546875" defaultRowHeight="15.75"/>
  <cols>
    <col min="1" max="2" width="10.85546875" style="19"/>
    <col min="3" max="3" width="19.28515625" style="19" customWidth="1"/>
    <col min="4" max="14" width="10.85546875" style="19"/>
    <col min="15" max="15" width="16.85546875" style="19" customWidth="1"/>
    <col min="16" max="16" width="1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21" width="11.28515625" style="19" customWidth="1"/>
    <col min="22" max="23" width="10.85546875" style="19"/>
    <col min="24" max="24" width="12.140625" style="19" customWidth="1"/>
    <col min="25" max="16384" width="10.85546875" style="19"/>
  </cols>
  <sheetData>
    <row r="2" spans="2:26">
      <c r="B2" s="17"/>
      <c r="C2" s="17" t="s">
        <v>76</v>
      </c>
      <c r="D2" s="17" t="s">
        <v>75</v>
      </c>
      <c r="E2" s="17" t="s">
        <v>74</v>
      </c>
    </row>
    <row r="3" spans="2:26" ht="51.75">
      <c r="B3" s="18" t="s">
        <v>120</v>
      </c>
      <c r="C3" s="90">
        <v>-9.0069284064665134E-2</v>
      </c>
      <c r="D3" s="90">
        <v>-6.8733153638814007E-2</v>
      </c>
      <c r="E3" s="90">
        <v>-0.17054263565891473</v>
      </c>
    </row>
    <row r="4" spans="2:26" ht="51.75">
      <c r="B4" s="18" t="s">
        <v>121</v>
      </c>
      <c r="C4" s="90"/>
      <c r="D4" s="90"/>
      <c r="E4" s="90"/>
    </row>
    <row r="5" spans="2:26" ht="51.75">
      <c r="B5" s="18" t="s">
        <v>73</v>
      </c>
      <c r="C5" s="90">
        <v>-0.35565819861431874</v>
      </c>
      <c r="D5" s="90">
        <v>-0.29514824797843664</v>
      </c>
      <c r="E5" s="90">
        <v>-0.15503875968992248</v>
      </c>
      <c r="O5" s="91"/>
      <c r="P5" s="91"/>
      <c r="Q5" s="91"/>
    </row>
    <row r="6" spans="2:26">
      <c r="O6" s="91"/>
      <c r="P6" s="91"/>
      <c r="Q6" s="91"/>
    </row>
    <row r="9" spans="2:26">
      <c r="B9" s="40" t="s">
        <v>198</v>
      </c>
    </row>
    <row r="13" spans="2:26">
      <c r="P13" s="23" t="s">
        <v>122</v>
      </c>
    </row>
    <row r="14" spans="2:26" ht="16.5" thickBot="1"/>
    <row r="15" spans="2:26" ht="16.5" thickBot="1">
      <c r="P15" s="227"/>
      <c r="Q15" s="229" t="s">
        <v>26</v>
      </c>
      <c r="R15" s="231" t="s">
        <v>52</v>
      </c>
      <c r="S15" s="233" t="s">
        <v>19</v>
      </c>
      <c r="T15" s="234"/>
      <c r="U15" s="235" t="s">
        <v>27</v>
      </c>
      <c r="V15" s="236"/>
      <c r="W15" s="237"/>
      <c r="X15" s="235" t="s">
        <v>28</v>
      </c>
      <c r="Y15" s="236"/>
      <c r="Z15" s="237"/>
    </row>
    <row r="16" spans="2:26" ht="94.5">
      <c r="P16" s="228"/>
      <c r="Q16" s="230"/>
      <c r="R16" s="232"/>
      <c r="S16" s="26" t="s">
        <v>29</v>
      </c>
      <c r="T16" s="94" t="s">
        <v>30</v>
      </c>
      <c r="U16" s="95" t="s">
        <v>53</v>
      </c>
      <c r="V16" s="96" t="s">
        <v>54</v>
      </c>
      <c r="W16" s="97" t="s">
        <v>77</v>
      </c>
      <c r="X16" s="95" t="s">
        <v>34</v>
      </c>
      <c r="Y16" s="96" t="s">
        <v>35</v>
      </c>
      <c r="Z16" s="97" t="s">
        <v>78</v>
      </c>
    </row>
    <row r="17" spans="2:26">
      <c r="P17" s="225" t="s">
        <v>21</v>
      </c>
      <c r="Q17" s="98" t="s">
        <v>55</v>
      </c>
      <c r="R17" s="99" t="s">
        <v>123</v>
      </c>
      <c r="S17" s="100">
        <f>-1.8</f>
        <v>-1.8</v>
      </c>
      <c r="T17" s="101" t="str">
        <f>-3.9&amp;" *"</f>
        <v>-3,9 *</v>
      </c>
      <c r="U17" s="122" t="str">
        <f>-3.6&amp;" ***"</f>
        <v>-3,6 ***</v>
      </c>
      <c r="V17" s="123" t="str">
        <f>-2.6&amp;" "&amp;" **"</f>
        <v>-2,6  **</v>
      </c>
      <c r="W17" s="101" t="str">
        <f>-2.2&amp;" ***"</f>
        <v>-2,2 ***</v>
      </c>
      <c r="X17" s="102" t="str">
        <f>-3.8&amp;" **"</f>
        <v>-3,8 **</v>
      </c>
      <c r="Y17" s="102" t="str">
        <f>-3.6&amp;" *"</f>
        <v>-3,6 *</v>
      </c>
      <c r="Z17" s="102" t="str">
        <f>-5.1&amp;" **"</f>
        <v>-5,1 **</v>
      </c>
    </row>
    <row r="18" spans="2:26" ht="16.5" thickBot="1">
      <c r="P18" s="226"/>
      <c r="Q18" s="98" t="s">
        <v>55</v>
      </c>
      <c r="R18" s="99" t="s">
        <v>55</v>
      </c>
      <c r="S18" s="100" t="str">
        <f>-20.7&amp;" ***"</f>
        <v>-20,7 ***</v>
      </c>
      <c r="T18" s="101" t="str">
        <f>-15.4&amp;" ***"</f>
        <v>-15,4 ***</v>
      </c>
      <c r="U18" s="102" t="str">
        <f>-9.2&amp;" ***"</f>
        <v>-9,2 ***</v>
      </c>
      <c r="V18" s="102" t="str">
        <f>-6.5&amp;" ***"</f>
        <v>-6,5 ***</v>
      </c>
      <c r="W18" s="101" t="str">
        <f>-2&amp;" ***"</f>
        <v>-2 ***</v>
      </c>
      <c r="X18" s="102" t="str">
        <f>-28.9&amp;" ***"</f>
        <v>-28,9 ***</v>
      </c>
      <c r="Y18" s="102" t="str">
        <f>-25.9&amp;" ***"</f>
        <v>-25,9 ***</v>
      </c>
      <c r="Z18" s="101" t="str">
        <f>-21.9&amp;" ***"</f>
        <v>-21,9 ***</v>
      </c>
    </row>
    <row r="19" spans="2:26" ht="16.5" thickBot="1">
      <c r="P19" s="92" t="s">
        <v>38</v>
      </c>
      <c r="Q19" s="103" t="s">
        <v>123</v>
      </c>
      <c r="R19" s="93" t="s">
        <v>123</v>
      </c>
      <c r="S19" s="179">
        <v>0.43273919999999999</v>
      </c>
      <c r="T19" s="180"/>
      <c r="U19" s="181">
        <v>0.1289882</v>
      </c>
      <c r="V19" s="182"/>
      <c r="W19" s="183"/>
      <c r="X19" s="181">
        <v>0.74172190000000005</v>
      </c>
      <c r="Y19" s="182"/>
      <c r="Z19" s="183"/>
    </row>
    <row r="20" spans="2:26">
      <c r="P20" s="34" t="s">
        <v>95</v>
      </c>
    </row>
    <row r="21" spans="2:26">
      <c r="P21" s="35" t="s">
        <v>135</v>
      </c>
    </row>
    <row r="22" spans="2:26">
      <c r="P22" s="145" t="s">
        <v>140</v>
      </c>
    </row>
    <row r="23" spans="2:26">
      <c r="P23" s="34" t="s">
        <v>125</v>
      </c>
    </row>
    <row r="24" spans="2:26">
      <c r="P24" s="34" t="s">
        <v>126</v>
      </c>
      <c r="S24" s="17"/>
      <c r="T24" s="17"/>
      <c r="U24" s="17"/>
      <c r="V24" s="17"/>
    </row>
    <row r="25" spans="2:26">
      <c r="P25" s="36" t="s">
        <v>98</v>
      </c>
      <c r="S25" s="18"/>
      <c r="T25" s="90"/>
      <c r="U25" s="90"/>
      <c r="V25" s="90"/>
    </row>
    <row r="26" spans="2:26">
      <c r="S26" s="18"/>
      <c r="T26" s="90"/>
      <c r="U26" s="90"/>
      <c r="V26" s="90"/>
    </row>
    <row r="27" spans="2:26">
      <c r="P27" s="35"/>
      <c r="S27" s="18"/>
      <c r="T27" s="90"/>
      <c r="U27" s="90"/>
      <c r="V27" s="90"/>
    </row>
    <row r="32" spans="2:26">
      <c r="B32" s="34" t="s">
        <v>95</v>
      </c>
    </row>
    <row r="33" spans="2:2">
      <c r="B33" s="35" t="s">
        <v>124</v>
      </c>
    </row>
    <row r="34" spans="2:2">
      <c r="B34" s="145" t="s">
        <v>140</v>
      </c>
    </row>
    <row r="35" spans="2:2">
      <c r="B35" s="34" t="s">
        <v>125</v>
      </c>
    </row>
    <row r="36" spans="2:2">
      <c r="B36" s="34" t="s">
        <v>126</v>
      </c>
    </row>
    <row r="37" spans="2:2">
      <c r="B37" s="36" t="s">
        <v>98</v>
      </c>
    </row>
    <row r="39" spans="2:2">
      <c r="B39" s="34"/>
    </row>
    <row r="103" spans="4:6">
      <c r="D103" s="80"/>
      <c r="E103" s="80"/>
      <c r="F103" s="80"/>
    </row>
    <row r="104" spans="4:6">
      <c r="D104" s="80"/>
      <c r="E104" s="80"/>
      <c r="F104" s="80"/>
    </row>
  </sheetData>
  <mergeCells count="10">
    <mergeCell ref="P17:P18"/>
    <mergeCell ref="S19:T19"/>
    <mergeCell ref="U19:W19"/>
    <mergeCell ref="X19:Z19"/>
    <mergeCell ref="P15:P16"/>
    <mergeCell ref="Q15:Q16"/>
    <mergeCell ref="R15:R16"/>
    <mergeCell ref="S15:T15"/>
    <mergeCell ref="U15:W15"/>
    <mergeCell ref="X15:Z1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7" zoomScale="150" zoomScaleNormal="150" workbookViewId="0">
      <selection activeCell="S29" sqref="S29"/>
    </sheetView>
  </sheetViews>
  <sheetFormatPr baseColWidth="10" defaultColWidth="10.85546875" defaultRowHeight="15.75"/>
  <cols>
    <col min="1" max="14" width="10.85546875" style="19"/>
    <col min="15" max="15" width="16.85546875" style="19" customWidth="1"/>
    <col min="16" max="16" width="1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21" width="16" style="19" customWidth="1"/>
    <col min="22" max="22" width="10.85546875" style="19"/>
    <col min="23" max="23" width="16.28515625" style="19" customWidth="1"/>
    <col min="24" max="16384" width="10.85546875" style="19"/>
  </cols>
  <sheetData>
    <row r="1" spans="1:23" ht="38.25">
      <c r="C1" s="37" t="s">
        <v>76</v>
      </c>
      <c r="D1" s="37" t="s">
        <v>79</v>
      </c>
      <c r="E1" s="37" t="s">
        <v>74</v>
      </c>
    </row>
    <row r="2" spans="1:23" ht="51.75">
      <c r="A2" s="240" t="s">
        <v>127</v>
      </c>
      <c r="B2" s="18" t="s">
        <v>120</v>
      </c>
      <c r="C2" s="86">
        <v>0.15373961218836563</v>
      </c>
      <c r="D2" s="86">
        <v>-9.6577017114914426E-2</v>
      </c>
      <c r="E2" s="86">
        <v>-0.2168284789644013</v>
      </c>
    </row>
    <row r="3" spans="1:23" ht="51.75">
      <c r="A3" s="240"/>
      <c r="B3" s="18" t="s">
        <v>121</v>
      </c>
      <c r="C3" s="80">
        <v>0</v>
      </c>
      <c r="D3" s="80">
        <v>0</v>
      </c>
      <c r="E3" s="80">
        <v>0</v>
      </c>
      <c r="M3" s="91"/>
      <c r="N3" s="91"/>
      <c r="O3" s="91"/>
    </row>
    <row r="4" spans="1:23" ht="51.75">
      <c r="A4" s="240"/>
      <c r="B4" s="18" t="s">
        <v>73</v>
      </c>
      <c r="C4" s="86">
        <v>-0.17590027700831024</v>
      </c>
      <c r="D4" s="86">
        <v>-0.17603911980440098</v>
      </c>
      <c r="E4" s="86">
        <v>-0.13268608414239483</v>
      </c>
      <c r="M4" s="91"/>
      <c r="N4" s="91"/>
      <c r="O4" s="91"/>
    </row>
    <row r="6" spans="1:23">
      <c r="B6" s="40" t="s">
        <v>199</v>
      </c>
    </row>
    <row r="7" spans="1:23">
      <c r="B7" s="40"/>
    </row>
    <row r="9" spans="1:23">
      <c r="P9" s="23" t="s">
        <v>128</v>
      </c>
    </row>
    <row r="10" spans="1:23" ht="16.5" thickBot="1"/>
    <row r="11" spans="1:23" ht="16.5" thickBot="1">
      <c r="P11" s="241"/>
      <c r="Q11" s="243" t="s">
        <v>57</v>
      </c>
      <c r="R11" s="243" t="s">
        <v>58</v>
      </c>
      <c r="S11" s="104" t="s">
        <v>19</v>
      </c>
      <c r="T11" s="238" t="s">
        <v>27</v>
      </c>
      <c r="U11" s="239"/>
      <c r="V11" s="238" t="s">
        <v>28</v>
      </c>
      <c r="W11" s="239"/>
    </row>
    <row r="12" spans="1:23" ht="48" thickBot="1">
      <c r="P12" s="242"/>
      <c r="Q12" s="244"/>
      <c r="R12" s="244"/>
      <c r="S12" s="104" t="s">
        <v>29</v>
      </c>
      <c r="T12" s="41" t="s">
        <v>59</v>
      </c>
      <c r="U12" s="42" t="s">
        <v>129</v>
      </c>
      <c r="V12" s="105" t="s">
        <v>29</v>
      </c>
      <c r="W12" s="42" t="s">
        <v>129</v>
      </c>
    </row>
    <row r="13" spans="1:23" ht="16.5" thickBot="1">
      <c r="P13" s="243" t="s">
        <v>69</v>
      </c>
      <c r="Q13" s="106" t="s">
        <v>55</v>
      </c>
      <c r="R13" s="107" t="s">
        <v>60</v>
      </c>
      <c r="S13" s="108" t="str">
        <f>11.1&amp;" ***"</f>
        <v>11,1 ***</v>
      </c>
      <c r="T13" s="109" t="str">
        <f>-6.6&amp;" *"</f>
        <v>-6,6 *</v>
      </c>
      <c r="U13" s="110" t="str">
        <f>-6.7&amp;" *"</f>
        <v>-6,7 *</v>
      </c>
      <c r="V13" s="111" t="str">
        <f>-13.3&amp;" **"</f>
        <v>-13,3 **</v>
      </c>
      <c r="W13" s="111" t="str">
        <f>-7.9&amp;" *"</f>
        <v>-7,9 *</v>
      </c>
    </row>
    <row r="14" spans="1:23" ht="16.5" thickBot="1">
      <c r="P14" s="252"/>
      <c r="Q14" s="112" t="s">
        <v>55</v>
      </c>
      <c r="R14" s="113" t="s">
        <v>55</v>
      </c>
      <c r="S14" s="108" t="str">
        <f>-12.7&amp;" ***"</f>
        <v>-12,7 ***</v>
      </c>
      <c r="T14" s="114" t="str">
        <f>-7.6&amp;" ***"</f>
        <v>-7,6 ***</v>
      </c>
      <c r="U14" s="115" t="str">
        <f>-4.1&amp;" *"</f>
        <v>-4,1 *</v>
      </c>
      <c r="V14" s="116" t="str">
        <f>-17.2&amp;" ***"</f>
        <v>-17,2 ***</v>
      </c>
      <c r="W14" s="117" t="str">
        <f>-14.4&amp;" ***"</f>
        <v>-14,4 ***</v>
      </c>
    </row>
    <row r="15" spans="1:23" ht="16.5" thickBot="1">
      <c r="P15" s="244"/>
      <c r="Q15" s="248" t="s">
        <v>61</v>
      </c>
      <c r="R15" s="249"/>
      <c r="S15" s="118">
        <v>0.72215530000000006</v>
      </c>
      <c r="T15" s="250">
        <v>0.3088688</v>
      </c>
      <c r="U15" s="251"/>
      <c r="V15" s="250">
        <v>0.81750330000000004</v>
      </c>
      <c r="W15" s="251"/>
    </row>
    <row r="16" spans="1:23" ht="16.5" thickBot="1">
      <c r="P16" s="243" t="s">
        <v>48</v>
      </c>
      <c r="Q16" s="106" t="s">
        <v>55</v>
      </c>
      <c r="R16" s="107" t="s">
        <v>60</v>
      </c>
      <c r="S16" s="108" t="str">
        <f>9.2&amp;" **"</f>
        <v>9,2 **</v>
      </c>
      <c r="T16" s="114" t="str">
        <f>-3.3&amp;" *"</f>
        <v>-3,3 *</v>
      </c>
      <c r="U16" s="114" t="str">
        <f>-2.5&amp;" **"</f>
        <v>-2,5 **</v>
      </c>
      <c r="V16" s="111">
        <v>-2.4</v>
      </c>
      <c r="W16" s="110">
        <v>-4.3</v>
      </c>
    </row>
    <row r="17" spans="2:23" ht="16.5" thickBot="1">
      <c r="P17" s="252"/>
      <c r="Q17" s="112" t="s">
        <v>55</v>
      </c>
      <c r="R17" s="113" t="s">
        <v>55</v>
      </c>
      <c r="S17" s="108" t="str">
        <f>-15&amp;" ***"</f>
        <v>-15 ***</v>
      </c>
      <c r="T17" s="114" t="str">
        <f>-8.6&amp;" ***"</f>
        <v>-8,6 ***</v>
      </c>
      <c r="U17" s="114" t="str">
        <f>-3&amp;" ***"</f>
        <v>-3 ***</v>
      </c>
      <c r="V17" s="116" t="str">
        <f>-22.7&amp;" ***"</f>
        <v>-22,7 ***</v>
      </c>
      <c r="W17" s="117" t="str">
        <f>-17.7&amp;" ***"</f>
        <v>-17,7 ***</v>
      </c>
    </row>
    <row r="18" spans="2:23" ht="16.5" thickBot="1">
      <c r="P18" s="244"/>
      <c r="Q18" s="248" t="s">
        <v>61</v>
      </c>
      <c r="R18" s="249"/>
      <c r="S18" s="119">
        <v>0.50010520000000003</v>
      </c>
      <c r="T18" s="250">
        <v>0.1286204</v>
      </c>
      <c r="U18" s="251"/>
      <c r="V18" s="250">
        <v>0.79311359999999997</v>
      </c>
      <c r="W18" s="251"/>
    </row>
    <row r="19" spans="2:23">
      <c r="P19" s="245" t="s">
        <v>130</v>
      </c>
      <c r="Q19" s="106" t="s">
        <v>55</v>
      </c>
      <c r="R19" s="107" t="s">
        <v>60</v>
      </c>
      <c r="S19" s="120" t="str">
        <f>-3.9 &amp; "*"</f>
        <v>-3,9*</v>
      </c>
      <c r="T19" s="109">
        <f>-0.4</f>
        <v>-0.4</v>
      </c>
      <c r="U19" s="110">
        <v>-0.2</v>
      </c>
      <c r="V19" s="111" t="str">
        <f>-0.9&amp;" "</f>
        <v xml:space="preserve">-0,9 </v>
      </c>
      <c r="W19" s="110">
        <v>-0.8</v>
      </c>
    </row>
    <row r="20" spans="2:23" ht="16.5" thickBot="1">
      <c r="P20" s="246"/>
      <c r="Q20" s="112" t="s">
        <v>55</v>
      </c>
      <c r="R20" s="113" t="s">
        <v>55</v>
      </c>
      <c r="S20" s="108" t="str">
        <f>-9.6&amp;" ***"</f>
        <v>-9,6 ***</v>
      </c>
      <c r="T20" s="114" t="str">
        <f>-2.1&amp;" *"</f>
        <v>-2,1 *</v>
      </c>
      <c r="U20" s="115" t="str">
        <f>-0.4&amp;" *"</f>
        <v>-0,4 *</v>
      </c>
      <c r="V20" s="116" t="str">
        <f>-25.9&amp;" ***"</f>
        <v>-25,9 ***</v>
      </c>
      <c r="W20" s="117" t="str">
        <f>-2.4&amp;" ***"</f>
        <v>-2,4 ***</v>
      </c>
    </row>
    <row r="21" spans="2:23" ht="16.5" thickBot="1">
      <c r="P21" s="247"/>
      <c r="Q21" s="248" t="s">
        <v>61</v>
      </c>
      <c r="R21" s="249"/>
      <c r="S21" s="119">
        <v>0.28098980000000001</v>
      </c>
      <c r="T21" s="250">
        <v>5.1188490000000003E-2</v>
      </c>
      <c r="U21" s="251"/>
      <c r="V21" s="250">
        <v>0.71722339999999996</v>
      </c>
      <c r="W21" s="251"/>
    </row>
    <row r="22" spans="2:23">
      <c r="P22" s="34" t="s">
        <v>95</v>
      </c>
    </row>
    <row r="23" spans="2:23">
      <c r="P23" s="121" t="s">
        <v>131</v>
      </c>
    </row>
    <row r="24" spans="2:23">
      <c r="P24" s="145" t="s">
        <v>140</v>
      </c>
      <c r="S24" s="86"/>
      <c r="T24" s="86"/>
      <c r="U24" s="86"/>
      <c r="V24" s="86"/>
      <c r="W24" s="86"/>
    </row>
    <row r="25" spans="2:23">
      <c r="P25" s="34" t="s">
        <v>132</v>
      </c>
      <c r="S25" s="86"/>
      <c r="T25" s="86"/>
      <c r="U25" s="86"/>
      <c r="V25" s="86"/>
      <c r="W25" s="86"/>
    </row>
    <row r="26" spans="2:23">
      <c r="P26" s="34" t="s">
        <v>133</v>
      </c>
    </row>
    <row r="27" spans="2:23">
      <c r="B27" s="34" t="s">
        <v>95</v>
      </c>
      <c r="P27" s="34" t="s">
        <v>56</v>
      </c>
    </row>
    <row r="28" spans="2:23">
      <c r="B28" s="121" t="s">
        <v>134</v>
      </c>
    </row>
    <row r="29" spans="2:23">
      <c r="B29" s="145" t="s">
        <v>140</v>
      </c>
    </row>
    <row r="30" spans="2:23">
      <c r="B30" s="34" t="s">
        <v>132</v>
      </c>
    </row>
    <row r="31" spans="2:23">
      <c r="B31" s="34" t="s">
        <v>133</v>
      </c>
      <c r="S31" s="80"/>
      <c r="T31" s="80"/>
      <c r="U31" s="80"/>
    </row>
    <row r="32" spans="2:23">
      <c r="B32" s="34" t="s">
        <v>56</v>
      </c>
      <c r="S32" s="80"/>
      <c r="T32" s="80"/>
      <c r="U32" s="80"/>
    </row>
    <row r="35" spans="2:2">
      <c r="B35" s="34"/>
    </row>
  </sheetData>
  <mergeCells count="18">
    <mergeCell ref="P19:P21"/>
    <mergeCell ref="Q21:R21"/>
    <mergeCell ref="T21:U21"/>
    <mergeCell ref="V21:W21"/>
    <mergeCell ref="P13:P15"/>
    <mergeCell ref="Q15:R15"/>
    <mergeCell ref="T15:U15"/>
    <mergeCell ref="V15:W15"/>
    <mergeCell ref="P16:P18"/>
    <mergeCell ref="Q18:R18"/>
    <mergeCell ref="T18:U18"/>
    <mergeCell ref="V18:W18"/>
    <mergeCell ref="V11:W11"/>
    <mergeCell ref="A2:A4"/>
    <mergeCell ref="P11:P12"/>
    <mergeCell ref="Q11:Q12"/>
    <mergeCell ref="R11:R12"/>
    <mergeCell ref="T11:U1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opLeftCell="A7" zoomScale="110" zoomScaleNormal="110" workbookViewId="0">
      <selection activeCell="C10" sqref="C10"/>
    </sheetView>
  </sheetViews>
  <sheetFormatPr baseColWidth="10" defaultColWidth="10.85546875" defaultRowHeight="15.75"/>
  <cols>
    <col min="1" max="2" width="10.85546875" style="19"/>
    <col min="3" max="3" width="16.42578125" style="19" customWidth="1"/>
    <col min="4" max="5" width="10.85546875" style="19"/>
    <col min="6" max="6" width="14.42578125" style="19" customWidth="1"/>
    <col min="7" max="14" width="10.85546875" style="19"/>
    <col min="15" max="15" width="16.85546875" style="19" customWidth="1"/>
    <col min="16" max="16" width="1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21" width="16" style="19" customWidth="1"/>
    <col min="22" max="22" width="10.85546875" style="19"/>
    <col min="23" max="23" width="16.28515625" style="19" customWidth="1"/>
    <col min="24" max="16384" width="10.85546875" style="19"/>
  </cols>
  <sheetData>
    <row r="3" spans="1:10">
      <c r="A3" s="91"/>
      <c r="B3" s="91"/>
    </row>
    <row r="4" spans="1:10">
      <c r="A4" s="91"/>
      <c r="B4" s="91"/>
    </row>
    <row r="9" spans="1:10">
      <c r="C9" s="23" t="s">
        <v>200</v>
      </c>
    </row>
    <row r="10" spans="1:10" ht="16.5" thickBot="1"/>
    <row r="11" spans="1:10" ht="16.5" thickBot="1">
      <c r="C11" s="241"/>
      <c r="D11" s="243" t="s">
        <v>57</v>
      </c>
      <c r="E11" s="243" t="s">
        <v>58</v>
      </c>
      <c r="F11" s="104" t="s">
        <v>19</v>
      </c>
      <c r="G11" s="238" t="s">
        <v>27</v>
      </c>
      <c r="H11" s="239"/>
      <c r="I11" s="238" t="s">
        <v>28</v>
      </c>
      <c r="J11" s="239"/>
    </row>
    <row r="12" spans="1:10" ht="79.5" thickBot="1">
      <c r="C12" s="242"/>
      <c r="D12" s="244"/>
      <c r="E12" s="244"/>
      <c r="F12" s="104" t="s">
        <v>29</v>
      </c>
      <c r="G12" s="41" t="s">
        <v>59</v>
      </c>
      <c r="H12" s="42" t="s">
        <v>129</v>
      </c>
      <c r="I12" s="105" t="s">
        <v>29</v>
      </c>
      <c r="J12" s="42" t="s">
        <v>129</v>
      </c>
    </row>
    <row r="13" spans="1:10" ht="16.5" thickBot="1">
      <c r="C13" s="243" t="s">
        <v>69</v>
      </c>
      <c r="D13" s="106" t="s">
        <v>55</v>
      </c>
      <c r="E13" s="107" t="s">
        <v>60</v>
      </c>
      <c r="F13" s="108" t="str">
        <f>11.1&amp;" ***"</f>
        <v>11,1 ***</v>
      </c>
      <c r="G13" s="109" t="str">
        <f>-6.6&amp;" *"</f>
        <v>-6,6 *</v>
      </c>
      <c r="H13" s="110" t="str">
        <f>-6.7&amp;" *"</f>
        <v>-6,7 *</v>
      </c>
      <c r="I13" s="111" t="str">
        <f>-13.3&amp;" **"</f>
        <v>-13,3 **</v>
      </c>
      <c r="J13" s="111" t="str">
        <f>-7.9&amp;" *"</f>
        <v>-7,9 *</v>
      </c>
    </row>
    <row r="14" spans="1:10" ht="16.5" thickBot="1">
      <c r="C14" s="252"/>
      <c r="D14" s="112" t="s">
        <v>55</v>
      </c>
      <c r="E14" s="113" t="s">
        <v>55</v>
      </c>
      <c r="F14" s="108" t="str">
        <f>-12.7&amp;" ***"</f>
        <v>-12,7 ***</v>
      </c>
      <c r="G14" s="114" t="str">
        <f>-7.6&amp;" ***"</f>
        <v>-7,6 ***</v>
      </c>
      <c r="H14" s="115" t="str">
        <f>-4.1&amp;" *"</f>
        <v>-4,1 *</v>
      </c>
      <c r="I14" s="116" t="str">
        <f>-17.2&amp;" ***"</f>
        <v>-17,2 ***</v>
      </c>
      <c r="J14" s="117" t="str">
        <f>-14.4&amp;" ***"</f>
        <v>-14,4 ***</v>
      </c>
    </row>
    <row r="15" spans="1:10" ht="16.5" thickBot="1">
      <c r="C15" s="244"/>
      <c r="D15" s="248" t="s">
        <v>61</v>
      </c>
      <c r="E15" s="249"/>
      <c r="F15" s="118">
        <v>0.72215530000000006</v>
      </c>
      <c r="G15" s="250">
        <v>0.3088688</v>
      </c>
      <c r="H15" s="251"/>
      <c r="I15" s="250">
        <v>0.81750330000000004</v>
      </c>
      <c r="J15" s="251"/>
    </row>
    <row r="16" spans="1:10" ht="16.5" thickBot="1">
      <c r="C16" s="243" t="s">
        <v>48</v>
      </c>
      <c r="D16" s="106" t="s">
        <v>55</v>
      </c>
      <c r="E16" s="107" t="s">
        <v>60</v>
      </c>
      <c r="F16" s="108" t="str">
        <f>9.2&amp;" **"</f>
        <v>9,2 **</v>
      </c>
      <c r="G16" s="114" t="str">
        <f>-3.3&amp;" *"</f>
        <v>-3,3 *</v>
      </c>
      <c r="H16" s="114" t="str">
        <f>-2.5&amp;" **"</f>
        <v>-2,5 **</v>
      </c>
      <c r="I16" s="111">
        <v>-2.4</v>
      </c>
      <c r="J16" s="110">
        <v>-4.3</v>
      </c>
    </row>
    <row r="17" spans="3:10" ht="16.5" thickBot="1">
      <c r="C17" s="252"/>
      <c r="D17" s="112" t="s">
        <v>55</v>
      </c>
      <c r="E17" s="113" t="s">
        <v>55</v>
      </c>
      <c r="F17" s="108" t="str">
        <f>-15&amp;" ***"</f>
        <v>-15 ***</v>
      </c>
      <c r="G17" s="114" t="str">
        <f>-8.6&amp;" ***"</f>
        <v>-8,6 ***</v>
      </c>
      <c r="H17" s="114" t="str">
        <f>-3&amp;" ***"</f>
        <v>-3 ***</v>
      </c>
      <c r="I17" s="116" t="str">
        <f>-22.7&amp;" ***"</f>
        <v>-22,7 ***</v>
      </c>
      <c r="J17" s="117" t="str">
        <f>-17.7&amp;" ***"</f>
        <v>-17,7 ***</v>
      </c>
    </row>
    <row r="18" spans="3:10" ht="16.5" thickBot="1">
      <c r="C18" s="244"/>
      <c r="D18" s="248" t="s">
        <v>61</v>
      </c>
      <c r="E18" s="249"/>
      <c r="F18" s="119">
        <v>0.50010520000000003</v>
      </c>
      <c r="G18" s="250">
        <v>0.1286204</v>
      </c>
      <c r="H18" s="251"/>
      <c r="I18" s="250">
        <v>0.79311359999999997</v>
      </c>
      <c r="J18" s="251"/>
    </row>
    <row r="19" spans="3:10">
      <c r="C19" s="245" t="s">
        <v>130</v>
      </c>
      <c r="D19" s="106" t="s">
        <v>55</v>
      </c>
      <c r="E19" s="107" t="s">
        <v>60</v>
      </c>
      <c r="F19" s="120" t="str">
        <f>-3.9 &amp; "*"</f>
        <v>-3,9*</v>
      </c>
      <c r="G19" s="109">
        <f>-0.4</f>
        <v>-0.4</v>
      </c>
      <c r="H19" s="110">
        <v>-0.2</v>
      </c>
      <c r="I19" s="111" t="str">
        <f>-0.9&amp;" "</f>
        <v xml:space="preserve">-0,9 </v>
      </c>
      <c r="J19" s="110">
        <v>-0.8</v>
      </c>
    </row>
    <row r="20" spans="3:10" ht="16.5" thickBot="1">
      <c r="C20" s="246"/>
      <c r="D20" s="112" t="s">
        <v>55</v>
      </c>
      <c r="E20" s="113" t="s">
        <v>55</v>
      </c>
      <c r="F20" s="108" t="str">
        <f>-9.6&amp;" ***"</f>
        <v>-9,6 ***</v>
      </c>
      <c r="G20" s="114" t="str">
        <f>-2.1&amp;" *"</f>
        <v>-2,1 *</v>
      </c>
      <c r="H20" s="115">
        <f>-0.4</f>
        <v>-0.4</v>
      </c>
      <c r="I20" s="116" t="str">
        <f>-25.9&amp;" ***"</f>
        <v>-25,9 ***</v>
      </c>
      <c r="J20" s="117" t="str">
        <f>-2.4&amp;" ***"</f>
        <v>-2,4 ***</v>
      </c>
    </row>
    <row r="21" spans="3:10" ht="16.5" thickBot="1">
      <c r="C21" s="247"/>
      <c r="D21" s="248" t="s">
        <v>61</v>
      </c>
      <c r="E21" s="249"/>
      <c r="F21" s="119">
        <v>0.28098980000000001</v>
      </c>
      <c r="G21" s="250">
        <v>5.1188490000000003E-2</v>
      </c>
      <c r="H21" s="251"/>
      <c r="I21" s="250">
        <v>0.71722339999999996</v>
      </c>
      <c r="J21" s="251"/>
    </row>
    <row r="22" spans="3:10">
      <c r="C22" s="34" t="s">
        <v>95</v>
      </c>
    </row>
    <row r="23" spans="3:10">
      <c r="C23" s="121" t="s">
        <v>131</v>
      </c>
    </row>
    <row r="24" spans="3:10">
      <c r="C24" s="145" t="s">
        <v>140</v>
      </c>
      <c r="F24" s="86"/>
      <c r="G24" s="86"/>
      <c r="H24" s="86"/>
      <c r="I24" s="86"/>
      <c r="J24" s="86"/>
    </row>
    <row r="25" spans="3:10">
      <c r="C25" s="34" t="s">
        <v>132</v>
      </c>
      <c r="F25" s="86"/>
      <c r="G25" s="86"/>
      <c r="H25" s="86"/>
      <c r="I25" s="86"/>
      <c r="J25" s="86"/>
    </row>
    <row r="26" spans="3:10">
      <c r="C26" s="34" t="s">
        <v>133</v>
      </c>
    </row>
    <row r="27" spans="3:10">
      <c r="C27" s="34" t="s">
        <v>56</v>
      </c>
    </row>
    <row r="31" spans="3:10">
      <c r="F31" s="80"/>
      <c r="G31" s="80"/>
      <c r="H31" s="80"/>
    </row>
    <row r="32" spans="3:10">
      <c r="F32" s="80"/>
      <c r="G32" s="80"/>
      <c r="H32" s="80"/>
    </row>
  </sheetData>
  <mergeCells count="17">
    <mergeCell ref="C19:C21"/>
    <mergeCell ref="D21:E21"/>
    <mergeCell ref="G21:H21"/>
    <mergeCell ref="I21:J21"/>
    <mergeCell ref="C13:C15"/>
    <mergeCell ref="D15:E15"/>
    <mergeCell ref="G15:H15"/>
    <mergeCell ref="I15:J15"/>
    <mergeCell ref="C16:C18"/>
    <mergeCell ref="D18:E18"/>
    <mergeCell ref="G18:H18"/>
    <mergeCell ref="I18:J18"/>
    <mergeCell ref="C11:C12"/>
    <mergeCell ref="D11:D12"/>
    <mergeCell ref="E11:E12"/>
    <mergeCell ref="G11:H11"/>
    <mergeCell ref="I11:J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3" sqref="A3"/>
    </sheetView>
  </sheetViews>
  <sheetFormatPr baseColWidth="10" defaultRowHeight="15"/>
  <cols>
    <col min="2" max="2" width="37.42578125" customWidth="1"/>
  </cols>
  <sheetData>
    <row r="2" spans="1:8">
      <c r="A2" s="1" t="s">
        <v>201</v>
      </c>
    </row>
    <row r="3" spans="1:8" ht="15.75" thickBot="1">
      <c r="A3" t="s">
        <v>191</v>
      </c>
    </row>
    <row r="4" spans="1:8">
      <c r="B4" s="253"/>
      <c r="C4" s="255" t="s">
        <v>190</v>
      </c>
      <c r="D4" s="256"/>
      <c r="E4" s="257" t="s">
        <v>18</v>
      </c>
      <c r="F4" s="256"/>
      <c r="G4" s="257" t="s">
        <v>189</v>
      </c>
      <c r="H4" s="256"/>
    </row>
    <row r="5" spans="1:8">
      <c r="B5" s="254"/>
      <c r="C5" s="260" t="s">
        <v>188</v>
      </c>
      <c r="D5" s="259"/>
      <c r="E5" s="258"/>
      <c r="F5" s="259"/>
      <c r="G5" s="258"/>
      <c r="H5" s="259"/>
    </row>
    <row r="6" spans="1:8">
      <c r="B6" s="170"/>
      <c r="C6" s="177" t="s">
        <v>16</v>
      </c>
      <c r="D6" s="175" t="s">
        <v>14</v>
      </c>
      <c r="E6" s="176" t="s">
        <v>16</v>
      </c>
      <c r="F6" s="175" t="s">
        <v>14</v>
      </c>
      <c r="G6" s="176" t="s">
        <v>16</v>
      </c>
      <c r="H6" s="175" t="s">
        <v>14</v>
      </c>
    </row>
    <row r="7" spans="1:8" ht="15.75" thickBot="1">
      <c r="B7" s="174"/>
      <c r="C7" s="173" t="s">
        <v>187</v>
      </c>
      <c r="D7" s="171" t="s">
        <v>186</v>
      </c>
      <c r="E7" s="172" t="s">
        <v>185</v>
      </c>
      <c r="F7" s="171" t="s">
        <v>184</v>
      </c>
      <c r="G7" s="172" t="s">
        <v>183</v>
      </c>
      <c r="H7" s="171" t="s">
        <v>182</v>
      </c>
    </row>
    <row r="8" spans="1:8">
      <c r="B8" s="167" t="s">
        <v>181</v>
      </c>
      <c r="C8" s="170"/>
      <c r="D8" s="168"/>
      <c r="E8" s="169"/>
      <c r="F8" s="168"/>
      <c r="G8" s="169"/>
      <c r="H8" s="168"/>
    </row>
    <row r="9" spans="1:8">
      <c r="B9" s="163" t="s">
        <v>180</v>
      </c>
      <c r="C9" s="162">
        <v>39</v>
      </c>
      <c r="D9" s="160">
        <v>48</v>
      </c>
      <c r="E9" s="161">
        <v>9.5</v>
      </c>
      <c r="F9" s="160">
        <v>14.5</v>
      </c>
      <c r="G9" s="161">
        <v>35.5</v>
      </c>
      <c r="H9" s="160">
        <v>30</v>
      </c>
    </row>
    <row r="10" spans="1:8" ht="15.75" thickBot="1">
      <c r="B10" s="159" t="s">
        <v>179</v>
      </c>
      <c r="C10" s="158">
        <v>61</v>
      </c>
      <c r="D10" s="154">
        <v>52</v>
      </c>
      <c r="E10" s="155">
        <v>90.5</v>
      </c>
      <c r="F10" s="154">
        <v>85.5</v>
      </c>
      <c r="G10" s="155">
        <v>64.5</v>
      </c>
      <c r="H10" s="154">
        <v>70</v>
      </c>
    </row>
    <row r="11" spans="1:8">
      <c r="B11" s="167" t="s">
        <v>178</v>
      </c>
      <c r="C11" s="166"/>
      <c r="D11" s="164"/>
      <c r="E11" s="165"/>
      <c r="F11" s="164"/>
      <c r="G11" s="165"/>
      <c r="H11" s="164"/>
    </row>
    <row r="12" spans="1:8">
      <c r="B12" s="163" t="s">
        <v>177</v>
      </c>
      <c r="C12" s="162">
        <v>43.5</v>
      </c>
      <c r="D12" s="160">
        <v>51</v>
      </c>
      <c r="E12" s="161">
        <v>50</v>
      </c>
      <c r="F12" s="160">
        <v>45.5</v>
      </c>
      <c r="G12" s="161">
        <v>46</v>
      </c>
      <c r="H12" s="160">
        <v>46</v>
      </c>
    </row>
    <row r="13" spans="1:8" ht="15.75" thickBot="1">
      <c r="B13" s="159" t="s">
        <v>176</v>
      </c>
      <c r="C13" s="158">
        <v>56.5</v>
      </c>
      <c r="D13" s="154">
        <v>49</v>
      </c>
      <c r="E13" s="155">
        <v>50</v>
      </c>
      <c r="F13" s="154">
        <v>54.5</v>
      </c>
      <c r="G13" s="155">
        <v>54</v>
      </c>
      <c r="H13" s="154">
        <v>54</v>
      </c>
    </row>
    <row r="14" spans="1:8">
      <c r="B14" s="167" t="s">
        <v>175</v>
      </c>
      <c r="C14" s="166"/>
      <c r="D14" s="164"/>
      <c r="E14" s="165"/>
      <c r="F14" s="164"/>
      <c r="G14" s="165"/>
      <c r="H14" s="164"/>
    </row>
    <row r="15" spans="1:8">
      <c r="B15" s="163" t="s">
        <v>2</v>
      </c>
      <c r="C15" s="162">
        <v>14</v>
      </c>
      <c r="D15" s="160">
        <v>17</v>
      </c>
      <c r="E15" s="161">
        <v>40</v>
      </c>
      <c r="F15" s="160">
        <v>53</v>
      </c>
      <c r="G15" s="161">
        <v>20</v>
      </c>
      <c r="H15" s="160">
        <v>24.5</v>
      </c>
    </row>
    <row r="16" spans="1:8">
      <c r="B16" s="163" t="s">
        <v>174</v>
      </c>
      <c r="C16" s="162">
        <v>25</v>
      </c>
      <c r="D16" s="160">
        <v>17</v>
      </c>
      <c r="E16" s="161">
        <v>21</v>
      </c>
      <c r="F16" s="160">
        <v>26</v>
      </c>
      <c r="G16" s="161">
        <v>19.5</v>
      </c>
      <c r="H16" s="160">
        <v>22</v>
      </c>
    </row>
    <row r="17" spans="2:8">
      <c r="B17" s="163" t="s">
        <v>173</v>
      </c>
      <c r="C17" s="162">
        <v>15.5</v>
      </c>
      <c r="D17" s="160">
        <v>15</v>
      </c>
      <c r="E17" s="161">
        <v>34.5</v>
      </c>
      <c r="F17" s="160">
        <v>12</v>
      </c>
      <c r="G17" s="161">
        <v>26.5</v>
      </c>
      <c r="H17" s="160">
        <v>28</v>
      </c>
    </row>
    <row r="18" spans="2:8" ht="15.75" thickBot="1">
      <c r="B18" s="159" t="s">
        <v>19</v>
      </c>
      <c r="C18" s="158">
        <v>45.5</v>
      </c>
      <c r="D18" s="154">
        <v>51.5</v>
      </c>
      <c r="E18" s="155">
        <v>4.5</v>
      </c>
      <c r="F18" s="154">
        <v>9</v>
      </c>
      <c r="G18" s="155">
        <v>34</v>
      </c>
      <c r="H18" s="154">
        <v>25.5</v>
      </c>
    </row>
    <row r="19" spans="2:8">
      <c r="B19" s="167" t="s">
        <v>172</v>
      </c>
      <c r="C19" s="166"/>
      <c r="D19" s="164"/>
      <c r="E19" s="165"/>
      <c r="F19" s="164"/>
      <c r="G19" s="165"/>
      <c r="H19" s="164"/>
    </row>
    <row r="20" spans="2:8">
      <c r="B20" s="163" t="s">
        <v>171</v>
      </c>
      <c r="C20" s="162">
        <v>53</v>
      </c>
      <c r="D20" s="160">
        <v>63</v>
      </c>
      <c r="E20" s="161">
        <v>16</v>
      </c>
      <c r="F20" s="160">
        <v>26.5</v>
      </c>
      <c r="G20" s="161">
        <v>47</v>
      </c>
      <c r="H20" s="160">
        <v>52</v>
      </c>
    </row>
    <row r="21" spans="2:8">
      <c r="B21" s="163" t="s">
        <v>170</v>
      </c>
      <c r="C21" s="162">
        <v>2</v>
      </c>
      <c r="D21" s="160">
        <v>0</v>
      </c>
      <c r="E21" s="161">
        <v>9.5</v>
      </c>
      <c r="F21" s="160">
        <v>0</v>
      </c>
      <c r="G21" s="161">
        <v>5</v>
      </c>
      <c r="H21" s="160">
        <v>1</v>
      </c>
    </row>
    <row r="22" spans="2:8">
      <c r="B22" s="163" t="s">
        <v>169</v>
      </c>
      <c r="C22" s="162">
        <v>37.5</v>
      </c>
      <c r="D22" s="160">
        <v>29</v>
      </c>
      <c r="E22" s="161">
        <v>66</v>
      </c>
      <c r="F22" s="160">
        <v>48</v>
      </c>
      <c r="G22" s="161">
        <v>3</v>
      </c>
      <c r="H22" s="160">
        <v>31</v>
      </c>
    </row>
    <row r="23" spans="2:8">
      <c r="B23" s="163" t="s">
        <v>168</v>
      </c>
      <c r="C23" s="162">
        <v>2</v>
      </c>
      <c r="D23" s="160">
        <v>8.5</v>
      </c>
      <c r="E23" s="161">
        <v>5.5</v>
      </c>
      <c r="F23" s="160">
        <v>26.5</v>
      </c>
      <c r="G23" s="161">
        <v>4.5</v>
      </c>
      <c r="H23" s="160">
        <v>15</v>
      </c>
    </row>
    <row r="24" spans="2:8">
      <c r="B24" s="163" t="s">
        <v>167</v>
      </c>
      <c r="C24" s="162">
        <v>0</v>
      </c>
      <c r="D24" s="160">
        <v>0</v>
      </c>
      <c r="E24" s="161">
        <v>3.5</v>
      </c>
      <c r="F24" s="160">
        <v>2</v>
      </c>
      <c r="G24" s="161">
        <v>2.5</v>
      </c>
      <c r="H24" s="160">
        <v>1</v>
      </c>
    </row>
    <row r="25" spans="2:8" ht="15.75" thickBot="1">
      <c r="B25" s="159" t="s">
        <v>166</v>
      </c>
      <c r="C25" s="158">
        <v>5</v>
      </c>
      <c r="D25" s="154">
        <v>0</v>
      </c>
      <c r="E25" s="155">
        <v>0</v>
      </c>
      <c r="F25" s="154">
        <v>0</v>
      </c>
      <c r="G25" s="155">
        <v>3.5</v>
      </c>
      <c r="H25" s="154">
        <v>0.5</v>
      </c>
    </row>
    <row r="26" spans="2:8" ht="15.75" thickBot="1">
      <c r="B26" s="157" t="s">
        <v>165</v>
      </c>
      <c r="C26" s="156">
        <v>1250</v>
      </c>
      <c r="D26" s="152">
        <v>1458</v>
      </c>
      <c r="E26" s="155">
        <v>680</v>
      </c>
      <c r="F26" s="154">
        <v>750</v>
      </c>
      <c r="G26" s="153">
        <v>1010</v>
      </c>
      <c r="H26" s="152">
        <v>1038</v>
      </c>
    </row>
    <row r="28" spans="2:8">
      <c r="B28" s="1" t="s">
        <v>164</v>
      </c>
    </row>
    <row r="29" spans="2:8">
      <c r="B29" s="1" t="s">
        <v>163</v>
      </c>
    </row>
    <row r="30" spans="2:8">
      <c r="B30" s="1" t="s">
        <v>162</v>
      </c>
    </row>
    <row r="31" spans="2:8">
      <c r="B31" s="1"/>
    </row>
  </sheetData>
  <mergeCells count="5">
    <mergeCell ref="B4:B5"/>
    <mergeCell ref="C4:D4"/>
    <mergeCell ref="E4:F5"/>
    <mergeCell ref="G4:H5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A4" sqref="A4"/>
    </sheetView>
  </sheetViews>
  <sheetFormatPr baseColWidth="10" defaultRowHeight="15"/>
  <cols>
    <col min="2" max="2" width="32" customWidth="1"/>
    <col min="3" max="3" width="21.42578125" customWidth="1"/>
    <col min="4" max="4" width="12.7109375" customWidth="1"/>
    <col min="5" max="5" width="20.7109375" customWidth="1"/>
    <col min="6" max="6" width="22" customWidth="1"/>
    <col min="7" max="7" width="15.42578125" customWidth="1"/>
    <col min="10" max="10" width="18.42578125" customWidth="1"/>
  </cols>
  <sheetData>
    <row r="3" spans="1:13">
      <c r="A3" s="1" t="s">
        <v>202</v>
      </c>
    </row>
    <row r="5" spans="1:13" ht="90">
      <c r="B5" s="222"/>
      <c r="C5" s="223"/>
      <c r="D5" s="11" t="s">
        <v>118</v>
      </c>
      <c r="E5" s="11" t="s">
        <v>119</v>
      </c>
      <c r="F5" s="11" t="s">
        <v>7</v>
      </c>
      <c r="G5" s="11" t="s">
        <v>8</v>
      </c>
      <c r="H5" s="11" t="s">
        <v>108</v>
      </c>
      <c r="I5" s="11" t="s">
        <v>3</v>
      </c>
      <c r="J5" s="11"/>
      <c r="K5" s="3" t="s">
        <v>6</v>
      </c>
      <c r="M5" s="3"/>
    </row>
    <row r="6" spans="1:13">
      <c r="B6" s="261" t="s">
        <v>9</v>
      </c>
      <c r="C6" s="5" t="s">
        <v>18</v>
      </c>
      <c r="D6" s="15">
        <v>0.38861242752029079</v>
      </c>
      <c r="E6" s="15">
        <v>15.783041876065926</v>
      </c>
      <c r="F6" s="15">
        <v>25.637345300927528</v>
      </c>
      <c r="G6" s="15">
        <v>16.720814749405747</v>
      </c>
      <c r="H6" s="15">
        <v>41.470185646618759</v>
      </c>
      <c r="I6" s="15">
        <v>100</v>
      </c>
      <c r="J6" s="14"/>
      <c r="K6" s="10">
        <v>86</v>
      </c>
      <c r="M6" s="10"/>
    </row>
    <row r="7" spans="1:13">
      <c r="B7" s="261"/>
      <c r="C7" s="5" t="s">
        <v>17</v>
      </c>
      <c r="D7" s="15">
        <v>0</v>
      </c>
      <c r="E7" s="15">
        <v>11.136617110356994</v>
      </c>
      <c r="F7" s="15">
        <v>28.58038236174858</v>
      </c>
      <c r="G7" s="15">
        <v>16.196941056943189</v>
      </c>
      <c r="H7" s="15">
        <v>44.086059469303976</v>
      </c>
      <c r="I7" s="15">
        <v>100</v>
      </c>
      <c r="J7" s="14"/>
      <c r="K7" s="10">
        <v>25</v>
      </c>
      <c r="M7" s="10"/>
    </row>
    <row r="8" spans="1:13">
      <c r="B8" s="224" t="s">
        <v>10</v>
      </c>
      <c r="C8" s="5" t="s">
        <v>18</v>
      </c>
      <c r="D8" s="15">
        <v>2.6708759995770328</v>
      </c>
      <c r="E8" s="15">
        <v>23.682440769882017</v>
      </c>
      <c r="F8" s="15">
        <v>28.958272802734985</v>
      </c>
      <c r="G8" s="15">
        <v>19.628617865646884</v>
      </c>
      <c r="H8" s="15">
        <v>25.059792565015403</v>
      </c>
      <c r="I8" s="15">
        <v>100</v>
      </c>
      <c r="J8" s="14"/>
      <c r="K8" s="10">
        <v>124</v>
      </c>
      <c r="M8" s="10"/>
    </row>
    <row r="9" spans="1:13">
      <c r="B9" s="224"/>
      <c r="C9" s="5" t="s">
        <v>17</v>
      </c>
      <c r="D9" s="15">
        <v>3.5454072213427938</v>
      </c>
      <c r="E9" s="15">
        <v>21.527541973533321</v>
      </c>
      <c r="F9" s="15">
        <v>46.576884710096337</v>
      </c>
      <c r="G9" s="15">
        <v>12.179559695965471</v>
      </c>
      <c r="H9" s="15">
        <v>16.170606399915076</v>
      </c>
      <c r="I9" s="15">
        <v>100</v>
      </c>
      <c r="J9" s="14"/>
      <c r="K9" s="10">
        <v>28</v>
      </c>
      <c r="M9" s="10"/>
    </row>
    <row r="10" spans="1:13">
      <c r="B10" s="224" t="s">
        <v>11</v>
      </c>
      <c r="C10" s="5" t="s">
        <v>18</v>
      </c>
      <c r="D10" s="15">
        <v>3.5894500572671739</v>
      </c>
      <c r="E10" s="15">
        <v>33.840184720659202</v>
      </c>
      <c r="F10" s="15">
        <v>32.320762734709582</v>
      </c>
      <c r="G10" s="15">
        <v>17.59245916813617</v>
      </c>
      <c r="H10" s="15">
        <v>12.657143322604073</v>
      </c>
      <c r="I10" s="15">
        <v>100</v>
      </c>
      <c r="J10" s="14"/>
      <c r="K10" s="10">
        <v>105</v>
      </c>
      <c r="M10" s="10"/>
    </row>
    <row r="11" spans="1:13">
      <c r="B11" s="224"/>
      <c r="C11" s="5" t="s">
        <v>17</v>
      </c>
      <c r="D11" s="15">
        <v>8.5840693482566586</v>
      </c>
      <c r="E11" s="15">
        <v>47.996374635357483</v>
      </c>
      <c r="F11" s="15">
        <v>19.889545248291839</v>
      </c>
      <c r="G11" s="15">
        <v>20.829143791022485</v>
      </c>
      <c r="H11" s="15">
        <v>2.7008669785934023</v>
      </c>
      <c r="I11" s="15">
        <v>100</v>
      </c>
      <c r="J11" s="14"/>
      <c r="K11" s="10">
        <v>69</v>
      </c>
      <c r="M11" s="10"/>
    </row>
    <row r="12" spans="1:13">
      <c r="B12" s="1" t="s">
        <v>144</v>
      </c>
    </row>
    <row r="13" spans="1:13">
      <c r="B13" t="s">
        <v>143</v>
      </c>
    </row>
    <row r="14" spans="1:13">
      <c r="B14" t="s">
        <v>142</v>
      </c>
    </row>
    <row r="15" spans="1:13">
      <c r="B15" s="1"/>
      <c r="D15" s="2"/>
      <c r="E15" s="2"/>
      <c r="F15" s="2"/>
      <c r="G15" s="2"/>
      <c r="H15" s="2"/>
      <c r="I15" s="2"/>
      <c r="J15" s="2"/>
      <c r="K15" s="2"/>
    </row>
  </sheetData>
  <mergeCells count="4">
    <mergeCell ref="B8:B9"/>
    <mergeCell ref="B10:B11"/>
    <mergeCell ref="B5:C5"/>
    <mergeCell ref="B6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zoomScale="120" zoomScaleNormal="120" workbookViewId="0">
      <selection activeCell="M19" sqref="M19"/>
    </sheetView>
  </sheetViews>
  <sheetFormatPr baseColWidth="10" defaultColWidth="10.85546875" defaultRowHeight="15.75"/>
  <cols>
    <col min="1" max="1" width="10.85546875" style="19"/>
    <col min="2" max="2" width="12.42578125" style="19" customWidth="1"/>
    <col min="3" max="14" width="10.85546875" style="19"/>
    <col min="15" max="15" width="16.85546875" style="19" customWidth="1"/>
    <col min="16" max="16" width="1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16384" width="10.85546875" style="19"/>
  </cols>
  <sheetData>
    <row r="2" spans="2:17">
      <c r="B2" s="124"/>
      <c r="C2" s="125" t="s">
        <v>64</v>
      </c>
      <c r="D2" s="125" t="s">
        <v>63</v>
      </c>
      <c r="G2" s="87"/>
      <c r="H2" s="87"/>
      <c r="K2" s="87"/>
      <c r="L2" s="87"/>
    </row>
    <row r="3" spans="2:17">
      <c r="B3" s="125" t="s">
        <v>136</v>
      </c>
      <c r="C3" s="126">
        <v>0.58764530000000004</v>
      </c>
      <c r="D3" s="126">
        <v>0.46981620000000002</v>
      </c>
      <c r="F3" s="87"/>
      <c r="G3" s="127"/>
      <c r="H3" s="127"/>
      <c r="J3" s="87"/>
      <c r="K3" s="128"/>
      <c r="L3" s="127"/>
    </row>
    <row r="4" spans="2:17">
      <c r="B4" s="125" t="s">
        <v>71</v>
      </c>
      <c r="C4" s="126">
        <v>0.35714780000000002</v>
      </c>
      <c r="D4" s="126">
        <v>0.20094200000000001</v>
      </c>
      <c r="F4" s="87"/>
      <c r="G4" s="127"/>
      <c r="H4" s="127"/>
      <c r="J4" s="87"/>
      <c r="K4" s="128"/>
      <c r="L4" s="127"/>
    </row>
    <row r="5" spans="2:17">
      <c r="B5" s="125" t="s">
        <v>70</v>
      </c>
      <c r="C5" s="126">
        <v>0.33854309999999999</v>
      </c>
      <c r="D5" s="126">
        <v>0.1092972</v>
      </c>
      <c r="F5" s="87"/>
      <c r="G5" s="127"/>
      <c r="H5" s="127"/>
      <c r="J5" s="87"/>
      <c r="K5" s="128"/>
      <c r="L5" s="127"/>
    </row>
    <row r="6" spans="2:17">
      <c r="C6" s="129"/>
      <c r="G6" s="130"/>
      <c r="H6" s="130"/>
    </row>
    <row r="8" spans="2:17">
      <c r="B8" s="22" t="s">
        <v>203</v>
      </c>
    </row>
    <row r="9" spans="2:17">
      <c r="O9" s="262"/>
      <c r="P9" s="263"/>
      <c r="Q9" s="263"/>
    </row>
    <row r="10" spans="2:17">
      <c r="O10" s="262"/>
      <c r="P10" s="87"/>
      <c r="Q10" s="87"/>
    </row>
    <row r="11" spans="2:17">
      <c r="O11" s="87"/>
      <c r="P11" s="88"/>
      <c r="Q11" s="88"/>
    </row>
    <row r="12" spans="2:17">
      <c r="O12" s="87"/>
      <c r="P12" s="88"/>
      <c r="Q12" s="88"/>
    </row>
    <row r="13" spans="2:17">
      <c r="O13" s="87"/>
      <c r="P13" s="88"/>
      <c r="Q13" s="88"/>
    </row>
    <row r="26" spans="3:3">
      <c r="C26" s="34" t="s">
        <v>95</v>
      </c>
    </row>
    <row r="27" spans="3:3">
      <c r="C27" s="34" t="s">
        <v>137</v>
      </c>
    </row>
    <row r="28" spans="3:3">
      <c r="C28" s="145" t="s">
        <v>140</v>
      </c>
    </row>
    <row r="30" spans="3:3">
      <c r="C30" s="34"/>
    </row>
  </sheetData>
  <mergeCells count="2">
    <mergeCell ref="O9:O10"/>
    <mergeCell ref="P9:Q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zoomScale="130" zoomScaleNormal="130" workbookViewId="0">
      <selection activeCell="A5" sqref="A5"/>
    </sheetView>
  </sheetViews>
  <sheetFormatPr baseColWidth="10" defaultRowHeight="15"/>
  <cols>
    <col min="3" max="3" width="34.42578125" customWidth="1"/>
    <col min="4" max="4" width="27.42578125" customWidth="1"/>
  </cols>
  <sheetData>
    <row r="4" spans="1:6">
      <c r="A4" s="1" t="s">
        <v>204</v>
      </c>
    </row>
    <row r="5" spans="1:6" ht="15" customHeight="1"/>
    <row r="6" spans="1:6">
      <c r="C6" s="265" t="s">
        <v>15</v>
      </c>
      <c r="D6" s="265" t="s">
        <v>12</v>
      </c>
      <c r="E6" s="264" t="s">
        <v>13</v>
      </c>
      <c r="F6" s="264"/>
    </row>
    <row r="7" spans="1:6">
      <c r="C7" s="265"/>
      <c r="D7" s="265"/>
      <c r="E7" s="7">
        <v>2020</v>
      </c>
      <c r="F7" s="16">
        <v>2010</v>
      </c>
    </row>
    <row r="8" spans="1:6" ht="30">
      <c r="C8" s="264" t="s">
        <v>81</v>
      </c>
      <c r="D8" s="8" t="s">
        <v>82</v>
      </c>
      <c r="E8" s="7">
        <v>0.46</v>
      </c>
      <c r="F8" s="7" t="s">
        <v>83</v>
      </c>
    </row>
    <row r="9" spans="1:6" ht="30">
      <c r="C9" s="264"/>
      <c r="D9" s="8" t="s">
        <v>84</v>
      </c>
      <c r="E9" s="7">
        <v>0.67</v>
      </c>
      <c r="F9" s="7" t="s">
        <v>85</v>
      </c>
    </row>
    <row r="10" spans="1:6" ht="30">
      <c r="C10" s="264"/>
      <c r="D10" s="8" t="s">
        <v>86</v>
      </c>
      <c r="E10" s="6" t="s">
        <v>20</v>
      </c>
      <c r="F10" s="6" t="s">
        <v>20</v>
      </c>
    </row>
    <row r="11" spans="1:6">
      <c r="C11" s="6" t="s">
        <v>87</v>
      </c>
      <c r="D11" s="8" t="s">
        <v>49</v>
      </c>
      <c r="E11" s="6">
        <v>0.79</v>
      </c>
      <c r="F11" s="6">
        <v>1.22</v>
      </c>
    </row>
    <row r="12" spans="1:6" ht="30">
      <c r="C12" s="7" t="s">
        <v>88</v>
      </c>
      <c r="D12" s="8" t="s">
        <v>89</v>
      </c>
      <c r="E12" s="6">
        <v>0.91</v>
      </c>
      <c r="F12" s="6" t="s">
        <v>90</v>
      </c>
    </row>
    <row r="13" spans="1:6">
      <c r="C13" s="6" t="s">
        <v>91</v>
      </c>
      <c r="D13" s="8" t="s">
        <v>14</v>
      </c>
      <c r="E13" s="6">
        <v>0.74</v>
      </c>
      <c r="F13" s="6">
        <v>0.69</v>
      </c>
    </row>
    <row r="15" spans="1:6">
      <c r="B15" s="131" t="s">
        <v>145</v>
      </c>
    </row>
    <row r="16" spans="1:6">
      <c r="A16" s="1"/>
      <c r="B16" s="131" t="s">
        <v>146</v>
      </c>
    </row>
    <row r="17" spans="2:2">
      <c r="B17" t="s">
        <v>147</v>
      </c>
    </row>
    <row r="18" spans="2:2">
      <c r="B18" s="131" t="s">
        <v>148</v>
      </c>
    </row>
  </sheetData>
  <mergeCells count="4">
    <mergeCell ref="C8:C10"/>
    <mergeCell ref="C6:C7"/>
    <mergeCell ref="D6:D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32"/>
  <sheetViews>
    <sheetView showGridLines="0" zoomScale="82" zoomScaleNormal="82" workbookViewId="0">
      <selection activeCell="C4" sqref="C4"/>
    </sheetView>
  </sheetViews>
  <sheetFormatPr baseColWidth="10" defaultRowHeight="15"/>
  <cols>
    <col min="2" max="2" width="4.85546875" customWidth="1"/>
    <col min="3" max="3" width="60.28515625" customWidth="1"/>
    <col min="11" max="11" width="5.42578125" customWidth="1"/>
  </cols>
  <sheetData>
    <row r="3" spans="3:3">
      <c r="C3" s="1" t="s">
        <v>193</v>
      </c>
    </row>
    <row r="9" spans="3:3" ht="5.45" customHeight="1"/>
    <row r="15" spans="3:3" ht="6" customHeight="1"/>
    <row r="20" s="9" customFormat="1" ht="5.0999999999999996" customHeight="1"/>
    <row r="23" s="9" customFormat="1" ht="5.0999999999999996" customHeight="1"/>
    <row r="27" s="9" customFormat="1" ht="4.5" customHeight="1"/>
    <row r="32" s="9" customFormat="1" ht="4.5" customHeight="1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39"/>
  <sheetViews>
    <sheetView tabSelected="1" topLeftCell="A10" zoomScale="170" zoomScaleNormal="170" workbookViewId="0">
      <selection activeCell="R16" sqref="R16"/>
    </sheetView>
  </sheetViews>
  <sheetFormatPr baseColWidth="10" defaultColWidth="10.85546875" defaultRowHeight="15.75"/>
  <cols>
    <col min="1" max="14" width="10.85546875" style="19"/>
    <col min="15" max="15" width="16.85546875" style="19" customWidth="1"/>
    <col min="16" max="16" width="17.14062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22" width="10.85546875" style="19"/>
    <col min="23" max="23" width="13.140625" style="19" customWidth="1"/>
    <col min="24" max="16384" width="10.85546875" style="19"/>
  </cols>
  <sheetData>
    <row r="5" spans="2:25" ht="51.75">
      <c r="B5" s="17"/>
      <c r="C5" s="18" t="s">
        <v>67</v>
      </c>
      <c r="D5" s="18" t="s">
        <v>66</v>
      </c>
      <c r="E5" s="18" t="s">
        <v>65</v>
      </c>
    </row>
    <row r="6" spans="2:25">
      <c r="B6" s="17" t="s">
        <v>64</v>
      </c>
      <c r="C6" s="20">
        <v>-0.12908680697409</v>
      </c>
      <c r="D6" s="20">
        <v>-0.141120595509861</v>
      </c>
      <c r="E6" s="20">
        <v>-0.35380052002340401</v>
      </c>
    </row>
    <row r="7" spans="2:25">
      <c r="B7" s="18" t="s">
        <v>92</v>
      </c>
      <c r="C7" s="21">
        <v>0</v>
      </c>
      <c r="D7" s="21">
        <v>0</v>
      </c>
      <c r="E7" s="21">
        <v>0</v>
      </c>
    </row>
    <row r="8" spans="2:25">
      <c r="B8" s="17" t="s">
        <v>63</v>
      </c>
      <c r="C8" s="20">
        <v>-0.194527455824649</v>
      </c>
      <c r="D8" s="20">
        <v>-0.21379021749854599</v>
      </c>
      <c r="E8" s="20">
        <v>-0.24976455</v>
      </c>
    </row>
    <row r="12" spans="2:25">
      <c r="B12" s="22" t="s">
        <v>206</v>
      </c>
    </row>
    <row r="13" spans="2:25">
      <c r="P13" s="23" t="s">
        <v>93</v>
      </c>
    </row>
    <row r="14" spans="2:25" ht="16.5" thickBot="1"/>
    <row r="15" spans="2:25" ht="16.5" thickBot="1">
      <c r="P15" s="184" t="s">
        <v>25</v>
      </c>
      <c r="Q15" s="186" t="s">
        <v>26</v>
      </c>
      <c r="R15" s="188" t="s">
        <v>19</v>
      </c>
      <c r="S15" s="189"/>
      <c r="T15" s="188" t="s">
        <v>27</v>
      </c>
      <c r="U15" s="189"/>
      <c r="V15" s="190"/>
      <c r="W15" s="188" t="s">
        <v>28</v>
      </c>
      <c r="X15" s="189"/>
      <c r="Y15" s="190"/>
    </row>
    <row r="16" spans="2:25" ht="126.75" thickBot="1">
      <c r="P16" s="185"/>
      <c r="Q16" s="187"/>
      <c r="R16" s="24" t="s">
        <v>29</v>
      </c>
      <c r="S16" s="25" t="s">
        <v>30</v>
      </c>
      <c r="T16" s="26" t="s">
        <v>31</v>
      </c>
      <c r="U16" s="27" t="s">
        <v>32</v>
      </c>
      <c r="V16" s="28" t="s">
        <v>33</v>
      </c>
      <c r="W16" s="26" t="s">
        <v>34</v>
      </c>
      <c r="X16" s="27" t="s">
        <v>35</v>
      </c>
      <c r="Y16" s="28" t="s">
        <v>36</v>
      </c>
    </row>
    <row r="17" spans="2:25" ht="16.5" thickBot="1">
      <c r="P17" s="191" t="s">
        <v>21</v>
      </c>
      <c r="Q17" s="29" t="s">
        <v>16</v>
      </c>
      <c r="R17" s="30" t="str">
        <f>-12.9&amp; "***"</f>
        <v>-12,9***</v>
      </c>
      <c r="S17" s="30" t="str">
        <f>-5.5&amp; "***"</f>
        <v>-5,5***</v>
      </c>
      <c r="T17" s="30" t="str">
        <f>-8.4&amp; "***"</f>
        <v>-8,4***</v>
      </c>
      <c r="U17" s="30" t="str">
        <f>-5.9&amp; "***"</f>
        <v>-5,9***</v>
      </c>
      <c r="V17" s="30" t="str">
        <f>-4.5&amp; "***"</f>
        <v>-4,5***</v>
      </c>
      <c r="W17" s="30" t="str">
        <f>-16.1&amp; "***"</f>
        <v>-16,1***</v>
      </c>
      <c r="X17" s="30" t="str">
        <f>-11.7&amp; "***"</f>
        <v>-11,7***</v>
      </c>
      <c r="Y17" s="30" t="str">
        <f>-10.4&amp; "***"</f>
        <v>-10,4***</v>
      </c>
    </row>
    <row r="18" spans="2:25" ht="16.5" thickBot="1">
      <c r="P18" s="192"/>
      <c r="Q18" s="29" t="s">
        <v>37</v>
      </c>
      <c r="R18" s="30" t="str">
        <f>-16.9&amp; "***"</f>
        <v>-16,9***</v>
      </c>
      <c r="S18" s="30" t="str">
        <f>-8.4&amp; "***"</f>
        <v>-8,4***</v>
      </c>
      <c r="T18" s="30" t="str">
        <f>-7.3&amp; "***"</f>
        <v>-7,3***</v>
      </c>
      <c r="U18" s="30" t="str">
        <f>-3.9&amp; "***"</f>
        <v>-3,9***</v>
      </c>
      <c r="V18" s="30" t="str">
        <f>-3.2&amp; "***"</f>
        <v>-3,2***</v>
      </c>
      <c r="W18" s="30" t="str">
        <f>-25.4&amp; "***"</f>
        <v>-25,4***</v>
      </c>
      <c r="X18" s="30" t="str">
        <f>-19.4&amp; "***"</f>
        <v>-19,4***</v>
      </c>
      <c r="Y18" s="30" t="str">
        <f>-15.7&amp; "***"</f>
        <v>-15,7***</v>
      </c>
    </row>
    <row r="19" spans="2:25" ht="16.5" thickBot="1">
      <c r="P19" s="31" t="s">
        <v>38</v>
      </c>
      <c r="Q19" s="32" t="s">
        <v>94</v>
      </c>
      <c r="R19" s="179">
        <v>0.43029879999999998</v>
      </c>
      <c r="S19" s="180"/>
      <c r="T19" s="181">
        <v>0.12849820000000001</v>
      </c>
      <c r="U19" s="182"/>
      <c r="V19" s="182"/>
      <c r="W19" s="179">
        <v>0.73546560000000005</v>
      </c>
      <c r="X19" s="182"/>
      <c r="Y19" s="183"/>
    </row>
    <row r="20" spans="2:25">
      <c r="P20" s="34" t="s">
        <v>95</v>
      </c>
    </row>
    <row r="21" spans="2:25">
      <c r="P21" s="35" t="s">
        <v>207</v>
      </c>
      <c r="T21" s="33"/>
    </row>
    <row r="22" spans="2:25">
      <c r="P22" s="34" t="s">
        <v>139</v>
      </c>
      <c r="R22" s="33"/>
      <c r="T22" s="33"/>
      <c r="Y22" s="33"/>
    </row>
    <row r="23" spans="2:25">
      <c r="P23" s="34" t="s">
        <v>96</v>
      </c>
      <c r="R23" s="33"/>
      <c r="T23" s="33"/>
      <c r="Y23" s="33"/>
    </row>
    <row r="24" spans="2:25">
      <c r="P24" s="34" t="s">
        <v>97</v>
      </c>
    </row>
    <row r="25" spans="2:25">
      <c r="P25" s="36" t="s">
        <v>98</v>
      </c>
    </row>
    <row r="27" spans="2:25">
      <c r="P27" s="34"/>
    </row>
    <row r="32" spans="2:25">
      <c r="B32" s="34" t="s">
        <v>95</v>
      </c>
    </row>
    <row r="33" spans="2:2">
      <c r="B33" s="35" t="s">
        <v>205</v>
      </c>
    </row>
    <row r="34" spans="2:2">
      <c r="B34" s="34" t="s">
        <v>139</v>
      </c>
    </row>
    <row r="35" spans="2:2">
      <c r="B35" s="34" t="s">
        <v>96</v>
      </c>
    </row>
    <row r="36" spans="2:2">
      <c r="B36" s="34" t="s">
        <v>97</v>
      </c>
    </row>
    <row r="37" spans="2:2">
      <c r="B37" s="36" t="s">
        <v>98</v>
      </c>
    </row>
    <row r="39" spans="2:2">
      <c r="B39" s="34"/>
    </row>
  </sheetData>
  <mergeCells count="9">
    <mergeCell ref="R19:S19"/>
    <mergeCell ref="T19:V19"/>
    <mergeCell ref="W19:Y19"/>
    <mergeCell ref="P15:P16"/>
    <mergeCell ref="Q15:Q16"/>
    <mergeCell ref="R15:S15"/>
    <mergeCell ref="T15:V15"/>
    <mergeCell ref="W15:Y15"/>
    <mergeCell ref="P17:P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topLeftCell="G5" zoomScale="110" zoomScaleNormal="110" workbookViewId="0">
      <selection activeCell="Q12" sqref="Q12"/>
    </sheetView>
  </sheetViews>
  <sheetFormatPr baseColWidth="10" defaultColWidth="10.85546875" defaultRowHeight="15.75"/>
  <cols>
    <col min="1" max="14" width="10.85546875" style="19"/>
    <col min="15" max="15" width="16.85546875" style="19" customWidth="1"/>
    <col min="16" max="16" width="15" style="19" customWidth="1"/>
    <col min="17" max="17" width="13" style="19" customWidth="1"/>
    <col min="18" max="18" width="14.85546875" style="19" customWidth="1"/>
    <col min="19" max="19" width="15" style="19" customWidth="1"/>
    <col min="20" max="20" width="14.85546875" style="19" customWidth="1"/>
    <col min="21" max="21" width="10.85546875" style="19"/>
    <col min="22" max="22" width="13.28515625" style="19" customWidth="1"/>
    <col min="23" max="16384" width="10.85546875" style="19"/>
  </cols>
  <sheetData>
    <row r="1" spans="2:22">
      <c r="B1" s="17"/>
      <c r="C1" s="194" t="s">
        <v>43</v>
      </c>
      <c r="D1" s="194"/>
    </row>
    <row r="2" spans="2:22" ht="25.5">
      <c r="B2" s="17"/>
      <c r="C2" s="37" t="s">
        <v>99</v>
      </c>
      <c r="D2" s="37" t="s">
        <v>68</v>
      </c>
    </row>
    <row r="3" spans="2:22" ht="51">
      <c r="B3" s="37" t="s">
        <v>67</v>
      </c>
      <c r="C3" s="38">
        <v>2.5193378548529037</v>
      </c>
      <c r="D3" s="38">
        <v>3.0280848627601693</v>
      </c>
    </row>
    <row r="4" spans="2:22" ht="38.25">
      <c r="B4" s="37" t="s">
        <v>66</v>
      </c>
      <c r="C4" s="38">
        <v>1.1450536078151576</v>
      </c>
      <c r="D4" s="38">
        <v>1.4293091690003281</v>
      </c>
      <c r="E4" s="39"/>
    </row>
    <row r="5" spans="2:22" ht="25.5">
      <c r="B5" s="37" t="s">
        <v>65</v>
      </c>
      <c r="C5" s="38">
        <v>2.768073977545749</v>
      </c>
      <c r="D5" s="38">
        <v>2.3307730081133973</v>
      </c>
    </row>
    <row r="7" spans="2:22">
      <c r="P7" s="23" t="s">
        <v>100</v>
      </c>
    </row>
    <row r="8" spans="2:22" ht="16.5" thickBot="1"/>
    <row r="9" spans="2:22" ht="15.95" customHeight="1" thickBot="1">
      <c r="B9" s="40" t="s">
        <v>101</v>
      </c>
      <c r="P9" s="195"/>
      <c r="Q9" s="197" t="s">
        <v>0</v>
      </c>
      <c r="R9" s="198"/>
      <c r="S9" s="197" t="s">
        <v>27</v>
      </c>
      <c r="T9" s="198"/>
      <c r="U9" s="197" t="s">
        <v>28</v>
      </c>
      <c r="V9" s="198"/>
    </row>
    <row r="10" spans="2:22" ht="48" thickBot="1">
      <c r="P10" s="196"/>
      <c r="Q10" s="41" t="s">
        <v>39</v>
      </c>
      <c r="R10" s="42" t="s">
        <v>102</v>
      </c>
      <c r="S10" s="41" t="s">
        <v>40</v>
      </c>
      <c r="T10" s="42" t="s">
        <v>103</v>
      </c>
      <c r="U10" s="41" t="s">
        <v>41</v>
      </c>
      <c r="V10" s="42" t="s">
        <v>104</v>
      </c>
    </row>
    <row r="11" spans="2:22" ht="48" thickBot="1">
      <c r="P11" s="43" t="s">
        <v>42</v>
      </c>
      <c r="Q11" s="44">
        <v>1.4653558317231898</v>
      </c>
      <c r="R11" s="45">
        <v>1.4704823187536975</v>
      </c>
      <c r="S11" s="44">
        <v>1.3327489407593565</v>
      </c>
      <c r="T11" s="45">
        <v>1.5381979308400386</v>
      </c>
      <c r="U11" s="44">
        <v>1.1422371584727091</v>
      </c>
      <c r="V11" s="45">
        <v>1.0390481123498578</v>
      </c>
    </row>
    <row r="12" spans="2:22" ht="48" thickBot="1">
      <c r="P12" s="43" t="s">
        <v>43</v>
      </c>
      <c r="Q12" s="44">
        <v>3.0280848627601693</v>
      </c>
      <c r="R12" s="45">
        <v>2.5193378548529037</v>
      </c>
      <c r="S12" s="44">
        <v>2.3307730081133973</v>
      </c>
      <c r="T12" s="45">
        <v>2.768073977545749</v>
      </c>
      <c r="U12" s="44">
        <v>1.4293091690003281</v>
      </c>
      <c r="V12" s="45">
        <v>1.1450536078151576</v>
      </c>
    </row>
    <row r="13" spans="2:22" ht="48" thickBot="1">
      <c r="P13" s="43" t="s">
        <v>44</v>
      </c>
      <c r="Q13" s="46">
        <v>2.0664502076599942</v>
      </c>
      <c r="R13" s="47">
        <v>1.7132731367951164</v>
      </c>
      <c r="S13" s="46">
        <v>1.7488462656630583</v>
      </c>
      <c r="T13" s="47">
        <v>1.799556430318465</v>
      </c>
      <c r="U13" s="46">
        <v>1.2513243492371271</v>
      </c>
      <c r="V13" s="47">
        <v>1.1020217391334874</v>
      </c>
    </row>
    <row r="14" spans="2:22">
      <c r="P14" s="34" t="s">
        <v>95</v>
      </c>
    </row>
    <row r="15" spans="2:22">
      <c r="P15" s="34" t="s">
        <v>105</v>
      </c>
    </row>
    <row r="16" spans="2:22">
      <c r="P16" s="34" t="s">
        <v>139</v>
      </c>
      <c r="Q16" s="193"/>
      <c r="R16" s="193"/>
      <c r="S16" s="193"/>
      <c r="T16" s="193"/>
      <c r="U16" s="193"/>
      <c r="V16" s="193"/>
    </row>
    <row r="17" spans="2:22">
      <c r="P17" s="34" t="s">
        <v>106</v>
      </c>
    </row>
    <row r="18" spans="2:22">
      <c r="P18" s="34" t="s">
        <v>107</v>
      </c>
      <c r="Q18" s="48"/>
      <c r="R18" s="48"/>
      <c r="S18" s="48"/>
      <c r="T18" s="48"/>
      <c r="U18" s="48"/>
      <c r="V18" s="48"/>
    </row>
    <row r="19" spans="2:22">
      <c r="Q19" s="49"/>
      <c r="R19" s="49"/>
      <c r="S19" s="49"/>
      <c r="T19" s="49"/>
      <c r="U19" s="49"/>
      <c r="V19" s="49"/>
    </row>
    <row r="20" spans="2:22">
      <c r="Q20" s="48"/>
      <c r="R20" s="48"/>
      <c r="S20" s="48"/>
      <c r="T20" s="48"/>
      <c r="U20" s="48"/>
      <c r="V20" s="48"/>
    </row>
    <row r="21" spans="2:22">
      <c r="Q21" s="48"/>
      <c r="R21" s="48"/>
      <c r="S21" s="48"/>
      <c r="T21" s="48"/>
      <c r="U21" s="48"/>
    </row>
    <row r="26" spans="2:22">
      <c r="B26" s="34" t="s">
        <v>95</v>
      </c>
    </row>
    <row r="27" spans="2:22">
      <c r="B27" s="34" t="s">
        <v>105</v>
      </c>
    </row>
    <row r="28" spans="2:22">
      <c r="B28" s="34" t="s">
        <v>139</v>
      </c>
    </row>
    <row r="29" spans="2:22">
      <c r="B29" s="34" t="s">
        <v>106</v>
      </c>
    </row>
    <row r="30" spans="2:22">
      <c r="B30" s="34" t="s">
        <v>107</v>
      </c>
    </row>
    <row r="32" spans="2:22">
      <c r="B32" s="34"/>
    </row>
    <row r="33" spans="2:2">
      <c r="B33" s="34"/>
    </row>
  </sheetData>
  <mergeCells count="8">
    <mergeCell ref="Q16:R16"/>
    <mergeCell ref="S16:T16"/>
    <mergeCell ref="U16:V16"/>
    <mergeCell ref="C1:D1"/>
    <mergeCell ref="P9:P10"/>
    <mergeCell ref="Q9:R9"/>
    <mergeCell ref="S9:T9"/>
    <mergeCell ref="U9:V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5"/>
  <sheetViews>
    <sheetView workbookViewId="0">
      <selection activeCell="B6" sqref="B6"/>
    </sheetView>
  </sheetViews>
  <sheetFormatPr baseColWidth="10" defaultColWidth="9.140625" defaultRowHeight="15"/>
  <cols>
    <col min="1" max="1" width="15" customWidth="1"/>
    <col min="2" max="2" width="22.7109375" customWidth="1"/>
    <col min="3" max="3" width="39.7109375" customWidth="1"/>
    <col min="4" max="4" width="12.85546875" customWidth="1"/>
    <col min="5" max="5" width="22.7109375" customWidth="1"/>
    <col min="6" max="6" width="18.7109375" customWidth="1"/>
    <col min="7" max="7" width="10.42578125" customWidth="1"/>
    <col min="8" max="8" width="10.7109375" customWidth="1"/>
  </cols>
  <sheetData>
    <row r="5" spans="2:10" ht="15.75" thickBot="1">
      <c r="B5" s="1" t="s">
        <v>194</v>
      </c>
    </row>
    <row r="6" spans="2:10" ht="17.100000000000001" customHeight="1" thickBot="1">
      <c r="D6" s="199" t="s">
        <v>22</v>
      </c>
      <c r="E6" s="200"/>
      <c r="F6" s="200"/>
      <c r="G6" s="201"/>
    </row>
    <row r="7" spans="2:10" ht="90.75" thickBot="1">
      <c r="C7" s="50" t="s">
        <v>23</v>
      </c>
      <c r="D7" s="51" t="s">
        <v>157</v>
      </c>
      <c r="E7" s="52" t="s">
        <v>119</v>
      </c>
      <c r="F7" s="52" t="s">
        <v>158</v>
      </c>
      <c r="G7" s="52" t="s">
        <v>108</v>
      </c>
      <c r="H7" s="53" t="s">
        <v>3</v>
      </c>
      <c r="I7" s="12" t="s">
        <v>6</v>
      </c>
      <c r="J7" s="12"/>
    </row>
    <row r="8" spans="2:10" ht="17.100000000000001" customHeight="1">
      <c r="B8" s="202" t="s">
        <v>24</v>
      </c>
      <c r="C8" s="54" t="s">
        <v>11</v>
      </c>
      <c r="D8" s="55">
        <v>5.6</v>
      </c>
      <c r="E8" s="56">
        <v>39.5</v>
      </c>
      <c r="F8" s="56">
        <v>46.2</v>
      </c>
      <c r="G8" s="56">
        <v>8.6999999999999993</v>
      </c>
      <c r="H8" s="151">
        <v>100.00000000000001</v>
      </c>
      <c r="I8" s="10">
        <v>111</v>
      </c>
      <c r="J8" s="10"/>
    </row>
    <row r="9" spans="2:10" ht="15.75">
      <c r="B9" s="203"/>
      <c r="C9" s="57" t="s">
        <v>10</v>
      </c>
      <c r="D9" s="58">
        <v>2.9000000000000004</v>
      </c>
      <c r="E9" s="13">
        <v>23.3</v>
      </c>
      <c r="F9" s="13">
        <v>50.4</v>
      </c>
      <c r="G9" s="13">
        <v>23.4</v>
      </c>
      <c r="H9" s="150">
        <v>100</v>
      </c>
      <c r="I9" s="10">
        <v>152</v>
      </c>
      <c r="J9" s="10"/>
    </row>
    <row r="10" spans="2:10" ht="32.25" thickBot="1">
      <c r="B10" s="204"/>
      <c r="C10" s="59" t="s">
        <v>9</v>
      </c>
      <c r="D10" s="60">
        <v>0.3</v>
      </c>
      <c r="E10" s="61">
        <v>14.8</v>
      </c>
      <c r="F10" s="61">
        <v>42.8</v>
      </c>
      <c r="G10" s="61">
        <v>42</v>
      </c>
      <c r="H10" s="149">
        <v>100</v>
      </c>
      <c r="I10" s="10">
        <v>174</v>
      </c>
      <c r="J10" s="10"/>
    </row>
    <row r="11" spans="2:10" ht="15.75">
      <c r="B11" s="202" t="s">
        <v>159</v>
      </c>
      <c r="C11" s="54" t="s">
        <v>11</v>
      </c>
      <c r="D11" s="55">
        <v>3.4948381277304112</v>
      </c>
      <c r="E11" s="56">
        <v>62</v>
      </c>
      <c r="F11" s="56">
        <v>32</v>
      </c>
      <c r="G11" s="56">
        <v>3</v>
      </c>
      <c r="H11" s="151">
        <v>100</v>
      </c>
      <c r="I11" s="10"/>
    </row>
    <row r="12" spans="2:10" ht="15.75">
      <c r="B12" s="203"/>
      <c r="C12" s="57" t="s">
        <v>10</v>
      </c>
      <c r="D12" s="58">
        <v>4</v>
      </c>
      <c r="E12" s="13">
        <v>32</v>
      </c>
      <c r="F12" s="13">
        <v>58</v>
      </c>
      <c r="G12" s="13">
        <v>6</v>
      </c>
      <c r="H12" s="150">
        <v>100</v>
      </c>
      <c r="I12" s="10"/>
    </row>
    <row r="13" spans="2:10" ht="32.25" thickBot="1">
      <c r="B13" s="204"/>
      <c r="C13" s="59" t="s">
        <v>9</v>
      </c>
      <c r="D13" s="60">
        <v>2</v>
      </c>
      <c r="E13" s="61">
        <v>27</v>
      </c>
      <c r="F13" s="61">
        <v>55</v>
      </c>
      <c r="G13" s="61">
        <v>16</v>
      </c>
      <c r="H13" s="149">
        <v>100</v>
      </c>
      <c r="I13" s="10"/>
    </row>
    <row r="14" spans="2:10">
      <c r="B14" s="62" t="s">
        <v>149</v>
      </c>
    </row>
    <row r="15" spans="2:10">
      <c r="B15" s="63" t="s">
        <v>150</v>
      </c>
    </row>
    <row r="16" spans="2:10">
      <c r="B16" s="62" t="s">
        <v>151</v>
      </c>
    </row>
    <row r="19" ht="60" customHeight="1"/>
    <row r="20" ht="33" customHeight="1"/>
    <row r="24" ht="75" customHeight="1"/>
    <row r="37" ht="30.75" customHeight="1"/>
    <row r="45" ht="15" customHeight="1"/>
  </sheetData>
  <mergeCells count="3">
    <mergeCell ref="D6:G6"/>
    <mergeCell ref="B8:B10"/>
    <mergeCell ref="B11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baseColWidth="10" defaultColWidth="9.140625" defaultRowHeight="15"/>
  <cols>
    <col min="1" max="1" width="15" customWidth="1"/>
    <col min="2" max="2" width="22.7109375" customWidth="1"/>
    <col min="3" max="3" width="39.7109375" customWidth="1"/>
    <col min="4" max="4" width="11.42578125" customWidth="1"/>
    <col min="5" max="5" width="22.7109375" customWidth="1"/>
    <col min="6" max="6" width="18.7109375" customWidth="1"/>
    <col min="7" max="7" width="10.42578125" customWidth="1"/>
  </cols>
  <sheetData>
    <row r="1" spans="1:9">
      <c r="A1" s="1" t="s">
        <v>195</v>
      </c>
    </row>
    <row r="3" spans="1:9">
      <c r="A3" s="1"/>
      <c r="B3" s="205">
        <v>2020</v>
      </c>
      <c r="C3" s="205"/>
      <c r="D3" s="205"/>
      <c r="E3" s="205"/>
      <c r="F3" s="205"/>
      <c r="G3" s="205"/>
    </row>
    <row r="4" spans="1:9" ht="45.75" thickBot="1">
      <c r="A4" s="1"/>
      <c r="B4" s="213"/>
      <c r="C4" s="214"/>
      <c r="D4" s="143" t="s">
        <v>0</v>
      </c>
      <c r="E4" s="143" t="s">
        <v>1</v>
      </c>
      <c r="F4" s="143" t="s">
        <v>2</v>
      </c>
      <c r="G4" s="143" t="s">
        <v>3</v>
      </c>
      <c r="I4" s="3" t="s">
        <v>6</v>
      </c>
    </row>
    <row r="5" spans="1:9">
      <c r="A5" s="206" t="s">
        <v>138</v>
      </c>
      <c r="B5" s="215" t="s">
        <v>2</v>
      </c>
      <c r="C5" s="142" t="s">
        <v>3</v>
      </c>
      <c r="D5" s="141">
        <v>21.742752571427342</v>
      </c>
      <c r="E5" s="141">
        <v>49.499978078225531</v>
      </c>
      <c r="F5" s="141">
        <v>28.757269350347126</v>
      </c>
      <c r="G5" s="140">
        <v>100</v>
      </c>
      <c r="I5" s="4">
        <v>919</v>
      </c>
    </row>
    <row r="6" spans="1:9">
      <c r="A6" s="207"/>
      <c r="B6" s="216"/>
      <c r="C6" s="5" t="s">
        <v>4</v>
      </c>
      <c r="D6" s="136">
        <v>17.316053806536363</v>
      </c>
      <c r="E6" s="136">
        <v>48.452934826748972</v>
      </c>
      <c r="F6" s="136">
        <v>34.231011366714661</v>
      </c>
      <c r="G6" s="135">
        <v>100</v>
      </c>
      <c r="I6" s="4">
        <v>610</v>
      </c>
    </row>
    <row r="7" spans="1:9">
      <c r="A7" s="207"/>
      <c r="B7" s="216"/>
      <c r="C7" s="5" t="s">
        <v>5</v>
      </c>
      <c r="D7" s="136">
        <v>33.561779297716996</v>
      </c>
      <c r="E7" s="136">
        <v>52.295522304304697</v>
      </c>
      <c r="F7" s="136">
        <v>14.142698397978309</v>
      </c>
      <c r="G7" s="135">
        <v>100</v>
      </c>
      <c r="I7" s="4">
        <v>309</v>
      </c>
    </row>
    <row r="8" spans="1:9">
      <c r="A8" s="207"/>
      <c r="B8" s="216" t="s">
        <v>1</v>
      </c>
      <c r="C8" s="5" t="s">
        <v>3</v>
      </c>
      <c r="D8" s="136">
        <v>44.372429328735727</v>
      </c>
      <c r="E8" s="136">
        <v>45.879279259484122</v>
      </c>
      <c r="F8" s="136">
        <v>9.7482914117801638</v>
      </c>
      <c r="G8" s="135">
        <v>100</v>
      </c>
      <c r="I8" s="4">
        <v>538</v>
      </c>
    </row>
    <row r="9" spans="1:9">
      <c r="A9" s="207"/>
      <c r="B9" s="216"/>
      <c r="C9" s="5" t="s">
        <v>4</v>
      </c>
      <c r="D9" s="136">
        <v>38.444581588402094</v>
      </c>
      <c r="E9" s="136">
        <v>50.277222570519399</v>
      </c>
      <c r="F9" s="136">
        <v>11.278195841078524</v>
      </c>
      <c r="G9" s="135">
        <v>100</v>
      </c>
      <c r="I9" s="4">
        <v>299</v>
      </c>
    </row>
    <row r="10" spans="1:9">
      <c r="A10" s="207"/>
      <c r="B10" s="216"/>
      <c r="C10" s="5" t="s">
        <v>5</v>
      </c>
      <c r="D10" s="136">
        <v>55.494616315600155</v>
      </c>
      <c r="E10" s="136">
        <v>37.627591630913045</v>
      </c>
      <c r="F10" s="136">
        <v>6.8777920534867949</v>
      </c>
      <c r="G10" s="135">
        <v>100</v>
      </c>
      <c r="I10" s="4">
        <v>239</v>
      </c>
    </row>
    <row r="11" spans="1:9">
      <c r="A11" s="207"/>
      <c r="B11" s="216" t="s">
        <v>0</v>
      </c>
      <c r="C11" s="5" t="s">
        <v>3</v>
      </c>
      <c r="D11" s="136">
        <v>75.592634347233215</v>
      </c>
      <c r="E11" s="136">
        <v>19.943799503598026</v>
      </c>
      <c r="F11" s="136">
        <v>4.4635661491687584</v>
      </c>
      <c r="G11" s="135">
        <v>100</v>
      </c>
      <c r="I11" s="4">
        <v>145</v>
      </c>
    </row>
    <row r="12" spans="1:9">
      <c r="A12" s="207"/>
      <c r="B12" s="216"/>
      <c r="C12" s="5" t="s">
        <v>4</v>
      </c>
      <c r="D12" s="136">
        <v>74.039952394612413</v>
      </c>
      <c r="E12" s="136">
        <v>18.891561015476952</v>
      </c>
      <c r="F12" s="136">
        <v>7.0684865899106315</v>
      </c>
      <c r="G12" s="135">
        <v>100</v>
      </c>
      <c r="I12" s="4">
        <v>64</v>
      </c>
    </row>
    <row r="13" spans="1:9" ht="15.75" thickBot="1">
      <c r="A13" s="207"/>
      <c r="B13" s="217"/>
      <c r="C13" s="139" t="s">
        <v>5</v>
      </c>
      <c r="D13" s="133">
        <v>77.733851319191288</v>
      </c>
      <c r="E13" s="133">
        <v>21.394882840729206</v>
      </c>
      <c r="F13" s="133">
        <v>0.87126584007949215</v>
      </c>
      <c r="G13" s="132">
        <v>100</v>
      </c>
      <c r="I13" s="4">
        <v>81</v>
      </c>
    </row>
    <row r="14" spans="1:9">
      <c r="A14" s="208" t="s">
        <v>160</v>
      </c>
      <c r="B14" s="148" t="s">
        <v>2</v>
      </c>
      <c r="C14" s="138"/>
      <c r="D14" s="138">
        <v>31.5</v>
      </c>
      <c r="E14" s="138">
        <v>52.2</v>
      </c>
      <c r="F14" s="138">
        <v>16.3</v>
      </c>
      <c r="G14" s="137">
        <f>SUM(D14:F14)</f>
        <v>100</v>
      </c>
    </row>
    <row r="15" spans="1:9" ht="45">
      <c r="A15" s="208"/>
      <c r="B15" s="146" t="s">
        <v>1</v>
      </c>
      <c r="D15" s="144">
        <v>46.1</v>
      </c>
      <c r="E15" s="144">
        <v>47.5</v>
      </c>
      <c r="F15" s="144">
        <v>6.4</v>
      </c>
      <c r="G15" s="135">
        <f>SUM(D15:F15)</f>
        <v>100</v>
      </c>
    </row>
    <row r="16" spans="1:9" ht="15.75" thickBot="1">
      <c r="A16" s="209"/>
      <c r="B16" s="147" t="s">
        <v>0</v>
      </c>
      <c r="C16" s="134"/>
      <c r="D16" s="133">
        <v>73.8</v>
      </c>
      <c r="E16" s="133">
        <v>23.5</v>
      </c>
      <c r="F16" s="133">
        <v>2.8</v>
      </c>
      <c r="G16" s="132">
        <f>SUM(D16:F16)</f>
        <v>100.1</v>
      </c>
    </row>
    <row r="17" spans="1:9">
      <c r="A17" t="s">
        <v>152</v>
      </c>
      <c r="C17" s="3"/>
    </row>
    <row r="18" spans="1:9">
      <c r="A18" s="212" t="s">
        <v>153</v>
      </c>
      <c r="B18" s="212"/>
      <c r="C18" s="212"/>
      <c r="D18" s="212"/>
      <c r="E18" s="212"/>
      <c r="F18" s="212"/>
      <c r="G18" s="212"/>
    </row>
    <row r="19" spans="1:9">
      <c r="A19" t="s">
        <v>154</v>
      </c>
    </row>
    <row r="21" spans="1:9">
      <c r="B21" s="210"/>
      <c r="C21" s="210"/>
      <c r="D21" s="210"/>
      <c r="E21" s="210"/>
      <c r="F21" s="210"/>
      <c r="G21" s="210"/>
    </row>
    <row r="22" spans="1:9">
      <c r="D22" s="3"/>
      <c r="E22" s="3"/>
      <c r="F22" s="3"/>
      <c r="G22" s="3"/>
      <c r="I22" s="3"/>
    </row>
    <row r="23" spans="1:9">
      <c r="B23" s="211"/>
      <c r="D23" s="89"/>
      <c r="E23" s="89"/>
      <c r="F23" s="89"/>
      <c r="G23" s="4"/>
      <c r="I23" s="4"/>
    </row>
    <row r="24" spans="1:9">
      <c r="B24" s="211"/>
      <c r="D24" s="89"/>
      <c r="E24" s="89"/>
      <c r="F24" s="89"/>
      <c r="G24" s="4"/>
      <c r="I24" s="4"/>
    </row>
    <row r="25" spans="1:9">
      <c r="B25" s="211"/>
      <c r="D25" s="89"/>
      <c r="E25" s="89"/>
      <c r="F25" s="89"/>
      <c r="G25" s="4"/>
      <c r="I25" s="4"/>
    </row>
    <row r="26" spans="1:9">
      <c r="B26" s="211"/>
      <c r="D26" s="89"/>
      <c r="E26" s="89"/>
      <c r="F26" s="89"/>
      <c r="G26" s="4"/>
      <c r="I26" s="4"/>
    </row>
    <row r="27" spans="1:9">
      <c r="B27" s="211"/>
      <c r="D27" s="89"/>
      <c r="E27" s="89"/>
      <c r="F27" s="89"/>
      <c r="G27" s="4"/>
      <c r="I27" s="4"/>
    </row>
    <row r="28" spans="1:9">
      <c r="B28" s="211"/>
      <c r="D28" s="89"/>
      <c r="E28" s="89"/>
      <c r="F28" s="89"/>
      <c r="G28" s="4"/>
      <c r="I28" s="4"/>
    </row>
    <row r="29" spans="1:9">
      <c r="B29" s="211"/>
      <c r="D29" s="89"/>
      <c r="E29" s="89"/>
      <c r="F29" s="89"/>
      <c r="G29" s="4"/>
      <c r="I29" s="4"/>
    </row>
    <row r="30" spans="1:9">
      <c r="B30" s="211"/>
      <c r="D30" s="89"/>
      <c r="E30" s="89"/>
      <c r="F30" s="89"/>
      <c r="G30" s="4"/>
      <c r="I30" s="4"/>
    </row>
    <row r="31" spans="1:9">
      <c r="B31" s="211"/>
      <c r="D31" s="89"/>
      <c r="E31" s="89"/>
      <c r="F31" s="89"/>
      <c r="G31" s="4"/>
      <c r="I31" s="4"/>
    </row>
    <row r="40" ht="30.75" customHeight="1"/>
    <row r="48" ht="15" customHeight="1"/>
  </sheetData>
  <mergeCells count="12">
    <mergeCell ref="B26:B28"/>
    <mergeCell ref="B29:B31"/>
    <mergeCell ref="A18:G18"/>
    <mergeCell ref="B4:C4"/>
    <mergeCell ref="B5:B7"/>
    <mergeCell ref="B8:B10"/>
    <mergeCell ref="B11:B13"/>
    <mergeCell ref="B3:G3"/>
    <mergeCell ref="A5:A13"/>
    <mergeCell ref="A14:A16"/>
    <mergeCell ref="B21:G21"/>
    <mergeCell ref="B23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="120" zoomScaleNormal="120" workbookViewId="0">
      <selection activeCell="J7" sqref="J7"/>
    </sheetView>
  </sheetViews>
  <sheetFormatPr baseColWidth="10" defaultColWidth="10.85546875" defaultRowHeight="15"/>
  <cols>
    <col min="1" max="1" width="31" style="65" customWidth="1"/>
    <col min="2" max="2" width="14.28515625" style="65" bestFit="1" customWidth="1"/>
    <col min="3" max="3" width="11.7109375" style="65" bestFit="1" customWidth="1"/>
    <col min="4" max="9" width="10.85546875" style="65"/>
    <col min="10" max="10" width="24" style="65" customWidth="1"/>
    <col min="11" max="11" width="14.42578125" style="65" customWidth="1"/>
    <col min="12" max="12" width="13.28515625" style="65" customWidth="1"/>
    <col min="13" max="16384" width="10.85546875" style="65"/>
  </cols>
  <sheetData>
    <row r="2" spans="1:12" ht="15.75">
      <c r="A2" s="64" t="s">
        <v>109</v>
      </c>
      <c r="J2" s="64" t="s">
        <v>113</v>
      </c>
    </row>
    <row r="3" spans="1:12" ht="16.5" thickBot="1">
      <c r="A3" s="64"/>
    </row>
    <row r="4" spans="1:12" ht="16.5" thickBot="1">
      <c r="A4" s="218" t="s">
        <v>80</v>
      </c>
      <c r="B4" s="220" t="s">
        <v>62</v>
      </c>
      <c r="C4" s="221"/>
      <c r="J4" s="218" t="s">
        <v>80</v>
      </c>
      <c r="K4" s="220" t="s">
        <v>62</v>
      </c>
      <c r="L4" s="221"/>
    </row>
    <row r="5" spans="1:12" ht="16.5" thickBot="1">
      <c r="A5" s="219"/>
      <c r="B5" s="66" t="s">
        <v>16</v>
      </c>
      <c r="C5" s="66" t="s">
        <v>14</v>
      </c>
      <c r="J5" s="219"/>
      <c r="K5" s="66" t="s">
        <v>16</v>
      </c>
      <c r="L5" s="66" t="s">
        <v>14</v>
      </c>
    </row>
    <row r="6" spans="1:12" ht="15.75">
      <c r="A6" s="67" t="s">
        <v>161</v>
      </c>
      <c r="B6" s="68">
        <v>0.39228156860716124</v>
      </c>
      <c r="C6" s="68">
        <v>0.18807385032474289</v>
      </c>
      <c r="J6" s="67" t="s">
        <v>161</v>
      </c>
      <c r="K6" s="69">
        <v>136475.15</v>
      </c>
      <c r="L6" s="69">
        <v>70482.179999999993</v>
      </c>
    </row>
    <row r="7" spans="1:12" ht="16.5" thickBot="1">
      <c r="A7" s="70" t="s">
        <v>45</v>
      </c>
      <c r="B7" s="71">
        <v>0.19385083687600782</v>
      </c>
      <c r="C7" s="72">
        <v>4.387586122244222E-2</v>
      </c>
      <c r="J7" s="70" t="s">
        <v>45</v>
      </c>
      <c r="K7" s="73">
        <v>67440.899999999994</v>
      </c>
      <c r="L7" s="74">
        <v>16442.830000000002</v>
      </c>
    </row>
    <row r="8" spans="1:12" ht="15.75">
      <c r="A8" s="67" t="s">
        <v>46</v>
      </c>
      <c r="B8" s="68">
        <v>0.60771892003759687</v>
      </c>
      <c r="C8" s="68">
        <v>0.81192636314635047</v>
      </c>
      <c r="J8" s="67" t="s">
        <v>46</v>
      </c>
      <c r="K8" s="69">
        <v>211426.02</v>
      </c>
      <c r="L8" s="69">
        <v>304275.90000000002</v>
      </c>
    </row>
    <row r="9" spans="1:12" ht="16.5" thickBot="1">
      <c r="A9" s="70" t="s">
        <v>110</v>
      </c>
      <c r="B9" s="72">
        <v>0.12447820213221578</v>
      </c>
      <c r="C9" s="72">
        <v>0.12799918347306796</v>
      </c>
      <c r="J9" s="70" t="s">
        <v>47</v>
      </c>
      <c r="K9" s="74">
        <v>43306.091</v>
      </c>
      <c r="L9" s="74">
        <v>47968.718000000001</v>
      </c>
    </row>
    <row r="10" spans="1:12">
      <c r="A10" s="34" t="s">
        <v>95</v>
      </c>
    </row>
    <row r="11" spans="1:12">
      <c r="A11" s="75" t="s">
        <v>111</v>
      </c>
    </row>
    <row r="12" spans="1:12">
      <c r="A12" s="34" t="s">
        <v>141</v>
      </c>
    </row>
    <row r="13" spans="1:12">
      <c r="A13" s="75" t="s">
        <v>112</v>
      </c>
    </row>
    <row r="16" spans="1:12" ht="15.95" customHeight="1">
      <c r="J16" s="76"/>
      <c r="K16" s="76"/>
      <c r="L16" s="76"/>
    </row>
    <row r="17" spans="10:12" ht="15.95" customHeight="1">
      <c r="J17" s="76"/>
      <c r="K17" s="76"/>
      <c r="L17" s="76"/>
    </row>
    <row r="18" spans="10:12" ht="15.95" customHeight="1">
      <c r="J18" s="76"/>
      <c r="K18" s="76"/>
      <c r="L18" s="76"/>
    </row>
    <row r="19" spans="10:12" ht="15.95" customHeight="1">
      <c r="J19" s="76"/>
      <c r="K19" s="76"/>
      <c r="L19" s="76"/>
    </row>
    <row r="20" spans="10:12" ht="15.95" customHeight="1">
      <c r="J20" s="76"/>
      <c r="K20" s="76"/>
      <c r="L20" s="76"/>
    </row>
    <row r="21" spans="10:12" ht="15.95" customHeight="1">
      <c r="J21" s="76"/>
      <c r="K21" s="76"/>
      <c r="L21" s="76"/>
    </row>
  </sheetData>
  <mergeCells count="4">
    <mergeCell ref="A4:A5"/>
    <mergeCell ref="B4:C4"/>
    <mergeCell ref="J4:J5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7"/>
  <sheetViews>
    <sheetView topLeftCell="A8" zoomScale="120" zoomScaleNormal="120" workbookViewId="0">
      <selection activeCell="L28" sqref="L28"/>
    </sheetView>
  </sheetViews>
  <sheetFormatPr baseColWidth="10" defaultColWidth="10.85546875" defaultRowHeight="15.75"/>
  <cols>
    <col min="1" max="1" width="10.85546875" style="19"/>
    <col min="2" max="2" width="19" style="19" customWidth="1"/>
    <col min="3" max="14" width="10.85546875" style="19"/>
    <col min="15" max="15" width="20.85546875" style="19" customWidth="1"/>
    <col min="16" max="16" width="15" style="19" customWidth="1"/>
    <col min="17" max="17" width="13" style="19" customWidth="1"/>
    <col min="18" max="18" width="12.28515625" style="19" customWidth="1"/>
    <col min="19" max="19" width="20.140625" style="19" customWidth="1"/>
    <col min="20" max="20" width="12.7109375" style="19" customWidth="1"/>
    <col min="21" max="16384" width="10.85546875" style="19"/>
  </cols>
  <sheetData>
    <row r="2" spans="2:20">
      <c r="T2" s="77"/>
    </row>
    <row r="3" spans="2:20">
      <c r="B3" s="78"/>
      <c r="C3" s="78" t="s">
        <v>72</v>
      </c>
      <c r="D3" s="78" t="s">
        <v>49</v>
      </c>
    </row>
    <row r="4" spans="2:20">
      <c r="B4" s="78" t="s">
        <v>114</v>
      </c>
      <c r="C4" s="79">
        <v>0.52217406361011709</v>
      </c>
      <c r="D4" s="79">
        <v>0.47782593638988285</v>
      </c>
      <c r="P4" s="80"/>
      <c r="Q4" s="80"/>
      <c r="R4" s="80"/>
    </row>
    <row r="5" spans="2:20">
      <c r="B5" s="78" t="s">
        <v>50</v>
      </c>
      <c r="C5" s="81">
        <v>0.47729579999999999</v>
      </c>
      <c r="D5" s="81">
        <v>0.52270419999999995</v>
      </c>
      <c r="P5" s="80"/>
      <c r="Q5" s="80"/>
      <c r="R5" s="80"/>
    </row>
    <row r="6" spans="2:20">
      <c r="P6" s="80"/>
      <c r="Q6" s="80"/>
      <c r="R6" s="80"/>
    </row>
    <row r="10" spans="2:20">
      <c r="B10" s="178" t="s">
        <v>196</v>
      </c>
    </row>
    <row r="14" spans="2:20">
      <c r="O14" s="22" t="s">
        <v>115</v>
      </c>
    </row>
    <row r="16" spans="2:20" ht="21.95" customHeight="1">
      <c r="O16" s="82"/>
      <c r="P16" s="83" t="s">
        <v>51</v>
      </c>
      <c r="Q16" s="83" t="s">
        <v>49</v>
      </c>
    </row>
    <row r="17" spans="2:17" ht="24" customHeight="1">
      <c r="O17" s="82" t="s">
        <v>116</v>
      </c>
      <c r="P17" s="79">
        <v>0.52217406361011709</v>
      </c>
      <c r="Q17" s="79">
        <v>0.47782593638988285</v>
      </c>
    </row>
    <row r="18" spans="2:17">
      <c r="O18" s="84" t="s">
        <v>50</v>
      </c>
      <c r="P18" s="81">
        <v>0.47729579999999999</v>
      </c>
      <c r="Q18" s="81">
        <v>0.52270419999999995</v>
      </c>
    </row>
    <row r="19" spans="2:17">
      <c r="O19" s="34" t="s">
        <v>95</v>
      </c>
    </row>
    <row r="20" spans="2:17">
      <c r="O20" s="35" t="s">
        <v>117</v>
      </c>
    </row>
    <row r="21" spans="2:17">
      <c r="O21" s="145" t="s">
        <v>140</v>
      </c>
    </row>
    <row r="25" spans="2:17">
      <c r="P25" s="85"/>
      <c r="Q25" s="86"/>
    </row>
    <row r="29" spans="2:17">
      <c r="B29" s="34" t="s">
        <v>95</v>
      </c>
    </row>
    <row r="30" spans="2:17">
      <c r="B30" s="35" t="s">
        <v>117</v>
      </c>
    </row>
    <row r="31" spans="2:17">
      <c r="B31" s="145" t="s">
        <v>140</v>
      </c>
    </row>
    <row r="32" spans="2:17">
      <c r="B32" s="34"/>
    </row>
    <row r="34" spans="2:4">
      <c r="C34" s="87"/>
      <c r="D34" s="87"/>
    </row>
    <row r="35" spans="2:4">
      <c r="B35" s="87"/>
      <c r="C35" s="88"/>
      <c r="D35" s="88"/>
    </row>
    <row r="36" spans="2:4">
      <c r="B36" s="87"/>
      <c r="C36" s="88"/>
      <c r="D36" s="88"/>
    </row>
    <row r="37" spans="2:4">
      <c r="B37" s="87"/>
      <c r="C37" s="88"/>
      <c r="D37" s="8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2" workbookViewId="0">
      <selection activeCell="B22" sqref="B22"/>
    </sheetView>
  </sheetViews>
  <sheetFormatPr baseColWidth="10" defaultColWidth="9.140625" defaultRowHeight="15"/>
  <cols>
    <col min="2" max="2" width="22.7109375" customWidth="1"/>
    <col min="3" max="3" width="39.7109375" customWidth="1"/>
    <col min="4" max="4" width="11.42578125" customWidth="1"/>
    <col min="5" max="5" width="22.7109375" customWidth="1"/>
    <col min="6" max="6" width="18.7109375" customWidth="1"/>
    <col min="7" max="7" width="10.42578125" customWidth="1"/>
  </cols>
  <sheetData>
    <row r="2" spans="1:9">
      <c r="A2" s="1"/>
    </row>
    <row r="3" spans="1:9">
      <c r="A3" s="1"/>
    </row>
    <row r="5" spans="1:9">
      <c r="B5" s="210">
        <v>2020</v>
      </c>
      <c r="C5" s="210"/>
      <c r="D5" s="210"/>
      <c r="E5" s="210"/>
      <c r="F5" s="210"/>
      <c r="G5" s="210"/>
    </row>
    <row r="6" spans="1:9" ht="45">
      <c r="B6" s="222"/>
      <c r="C6" s="223"/>
      <c r="D6" s="11" t="s">
        <v>0</v>
      </c>
      <c r="E6" s="11" t="s">
        <v>1</v>
      </c>
      <c r="F6" s="11" t="s">
        <v>2</v>
      </c>
      <c r="G6" s="11" t="s">
        <v>3</v>
      </c>
      <c r="I6" s="3" t="s">
        <v>6</v>
      </c>
    </row>
    <row r="7" spans="1:9">
      <c r="B7" s="224" t="s">
        <v>2</v>
      </c>
      <c r="C7" s="5" t="s">
        <v>3</v>
      </c>
      <c r="D7" s="14">
        <v>21.742752571427342</v>
      </c>
      <c r="E7" s="14">
        <v>49.499978078225531</v>
      </c>
      <c r="F7" s="14">
        <v>28.757269350347126</v>
      </c>
      <c r="G7" s="15">
        <v>100</v>
      </c>
      <c r="I7" s="4">
        <v>919</v>
      </c>
    </row>
    <row r="8" spans="1:9">
      <c r="B8" s="224"/>
      <c r="C8" s="5" t="s">
        <v>4</v>
      </c>
      <c r="D8" s="14">
        <v>17.316053806536363</v>
      </c>
      <c r="E8" s="14">
        <v>48.452934826748972</v>
      </c>
      <c r="F8" s="14">
        <v>34.231011366714661</v>
      </c>
      <c r="G8" s="15">
        <v>100</v>
      </c>
      <c r="I8" s="4">
        <v>610</v>
      </c>
    </row>
    <row r="9" spans="1:9">
      <c r="B9" s="224"/>
      <c r="C9" s="5" t="s">
        <v>5</v>
      </c>
      <c r="D9" s="14">
        <v>33.561779297716996</v>
      </c>
      <c r="E9" s="14">
        <v>52.295522304304697</v>
      </c>
      <c r="F9" s="14">
        <v>14.142698397978309</v>
      </c>
      <c r="G9" s="15">
        <v>100</v>
      </c>
      <c r="I9" s="4">
        <v>309</v>
      </c>
    </row>
    <row r="10" spans="1:9">
      <c r="B10" s="224" t="s">
        <v>1</v>
      </c>
      <c r="C10" s="5" t="s">
        <v>3</v>
      </c>
      <c r="D10" s="14">
        <v>44.372429328735727</v>
      </c>
      <c r="E10" s="14">
        <v>45.879279259484122</v>
      </c>
      <c r="F10" s="14">
        <v>9.7482914117801638</v>
      </c>
      <c r="G10" s="15">
        <v>100</v>
      </c>
      <c r="I10" s="4">
        <v>538</v>
      </c>
    </row>
    <row r="11" spans="1:9">
      <c r="B11" s="224"/>
      <c r="C11" s="5" t="s">
        <v>4</v>
      </c>
      <c r="D11" s="14">
        <v>38.444581588402094</v>
      </c>
      <c r="E11" s="14">
        <v>50.277222570519399</v>
      </c>
      <c r="F11" s="14">
        <v>11.278195841078524</v>
      </c>
      <c r="G11" s="15">
        <v>100</v>
      </c>
      <c r="I11" s="4">
        <v>299</v>
      </c>
    </row>
    <row r="12" spans="1:9">
      <c r="B12" s="224"/>
      <c r="C12" s="5" t="s">
        <v>5</v>
      </c>
      <c r="D12" s="14">
        <v>55.494616315600155</v>
      </c>
      <c r="E12" s="14">
        <v>37.627591630913045</v>
      </c>
      <c r="F12" s="14">
        <v>6.8777920534867949</v>
      </c>
      <c r="G12" s="15">
        <v>100</v>
      </c>
      <c r="I12" s="4">
        <v>239</v>
      </c>
    </row>
    <row r="13" spans="1:9">
      <c r="B13" s="224" t="s">
        <v>0</v>
      </c>
      <c r="C13" s="5" t="s">
        <v>3</v>
      </c>
      <c r="D13" s="14">
        <v>75.592634347233215</v>
      </c>
      <c r="E13" s="14">
        <v>19.943799503598026</v>
      </c>
      <c r="F13" s="14">
        <v>4.4635661491687584</v>
      </c>
      <c r="G13" s="15">
        <v>100</v>
      </c>
      <c r="I13" s="4">
        <v>145</v>
      </c>
    </row>
    <row r="14" spans="1:9">
      <c r="B14" s="224"/>
      <c r="C14" s="5" t="s">
        <v>4</v>
      </c>
      <c r="D14" s="14">
        <v>74.039952394612413</v>
      </c>
      <c r="E14" s="14">
        <v>18.891561015476952</v>
      </c>
      <c r="F14" s="14">
        <v>7.0684865899106315</v>
      </c>
      <c r="G14" s="15">
        <v>100</v>
      </c>
      <c r="I14" s="4">
        <v>64</v>
      </c>
    </row>
    <row r="15" spans="1:9">
      <c r="B15" s="224"/>
      <c r="C15" s="5" t="s">
        <v>5</v>
      </c>
      <c r="D15" s="14">
        <v>77.733851319191288</v>
      </c>
      <c r="E15" s="14">
        <v>21.394882840729206</v>
      </c>
      <c r="F15" s="14">
        <v>0.87126584007949215</v>
      </c>
      <c r="G15" s="15">
        <v>100</v>
      </c>
      <c r="I15" s="4">
        <v>81</v>
      </c>
    </row>
    <row r="17" spans="1:9">
      <c r="A17" s="1"/>
    </row>
    <row r="18" spans="1:9">
      <c r="A18" s="1"/>
    </row>
    <row r="19" spans="1:9">
      <c r="A19" s="1"/>
    </row>
    <row r="21" spans="1:9">
      <c r="B21" s="1" t="s">
        <v>197</v>
      </c>
    </row>
    <row r="28" spans="1:9">
      <c r="B28" s="210"/>
      <c r="C28" s="210"/>
      <c r="D28" s="210"/>
      <c r="E28" s="210"/>
      <c r="F28" s="210"/>
      <c r="G28" s="210"/>
    </row>
    <row r="29" spans="1:9">
      <c r="D29" s="3"/>
      <c r="E29" s="3"/>
      <c r="F29" s="3"/>
      <c r="G29" s="3"/>
      <c r="I29" s="3"/>
    </row>
    <row r="30" spans="1:9">
      <c r="B30" s="211"/>
      <c r="D30" s="89"/>
      <c r="E30" s="89"/>
      <c r="F30" s="89"/>
      <c r="G30" s="4"/>
      <c r="I30" s="4"/>
    </row>
    <row r="31" spans="1:9">
      <c r="B31" s="211"/>
      <c r="D31" s="89"/>
      <c r="E31" s="89"/>
      <c r="F31" s="89"/>
      <c r="G31" s="4"/>
      <c r="I31" s="4"/>
    </row>
    <row r="32" spans="1:9">
      <c r="B32" s="211"/>
      <c r="D32" s="89"/>
      <c r="E32" s="89"/>
      <c r="F32" s="89"/>
      <c r="G32" s="4"/>
      <c r="I32" s="4"/>
    </row>
    <row r="33" spans="1:9">
      <c r="B33" s="211"/>
      <c r="D33" s="89"/>
      <c r="E33" s="89"/>
      <c r="F33" s="89"/>
      <c r="G33" s="4"/>
      <c r="I33" s="4"/>
    </row>
    <row r="34" spans="1:9">
      <c r="B34" s="211"/>
      <c r="D34" s="89"/>
      <c r="E34" s="89"/>
      <c r="F34" s="89"/>
      <c r="G34" s="4"/>
      <c r="I34" s="4"/>
    </row>
    <row r="35" spans="1:9">
      <c r="B35" s="211"/>
      <c r="D35" s="89"/>
      <c r="E35" s="89"/>
      <c r="F35" s="89"/>
      <c r="G35" s="4"/>
      <c r="I35" s="4"/>
    </row>
    <row r="36" spans="1:9">
      <c r="B36" s="211"/>
      <c r="D36" s="89"/>
      <c r="E36" s="89"/>
      <c r="F36" s="89"/>
      <c r="G36" s="4"/>
      <c r="I36" s="4"/>
    </row>
    <row r="37" spans="1:9">
      <c r="B37" s="211"/>
      <c r="D37" s="89"/>
      <c r="E37" s="89"/>
      <c r="F37" s="89"/>
      <c r="G37" s="4"/>
      <c r="I37" s="4"/>
    </row>
    <row r="38" spans="1:9">
      <c r="B38" s="211"/>
      <c r="D38" s="89"/>
      <c r="E38" s="89"/>
      <c r="F38" s="89"/>
      <c r="G38" s="4"/>
      <c r="I38" s="4"/>
    </row>
    <row r="40" spans="1:9">
      <c r="A40" s="1"/>
    </row>
    <row r="41" spans="1:9">
      <c r="A41" s="1"/>
    </row>
    <row r="42" spans="1:9">
      <c r="A42" s="1"/>
    </row>
    <row r="51" spans="2:2">
      <c r="B51" t="s">
        <v>155</v>
      </c>
    </row>
    <row r="52" spans="2:2">
      <c r="B52" t="s">
        <v>156</v>
      </c>
    </row>
    <row r="53" spans="2:2">
      <c r="B53" t="s">
        <v>142</v>
      </c>
    </row>
  </sheetData>
  <mergeCells count="9">
    <mergeCell ref="B30:B32"/>
    <mergeCell ref="B33:B35"/>
    <mergeCell ref="B36:B38"/>
    <mergeCell ref="B5:G5"/>
    <mergeCell ref="B6:C6"/>
    <mergeCell ref="B7:B9"/>
    <mergeCell ref="B10:B12"/>
    <mergeCell ref="B13:B15"/>
    <mergeCell ref="B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Schéma 1  </vt:lpstr>
      <vt:lpstr>Schéma 2</vt:lpstr>
      <vt:lpstr> G2</vt:lpstr>
      <vt:lpstr>  G3 </vt:lpstr>
      <vt:lpstr> T1</vt:lpstr>
      <vt:lpstr> T2</vt:lpstr>
      <vt:lpstr> T3 </vt:lpstr>
      <vt:lpstr> G4 </vt:lpstr>
      <vt:lpstr>G5</vt:lpstr>
      <vt:lpstr> G6</vt:lpstr>
      <vt:lpstr> G7</vt:lpstr>
      <vt:lpstr> T4</vt:lpstr>
      <vt:lpstr>T5</vt:lpstr>
      <vt:lpstr>T6</vt:lpstr>
      <vt:lpstr> G8</vt:lpstr>
      <vt:lpstr>Annexe 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Lottin</dc:creator>
  <cp:lastModifiedBy>PERUYERO Clement</cp:lastModifiedBy>
  <dcterms:created xsi:type="dcterms:W3CDTF">2015-06-05T18:19:34Z</dcterms:created>
  <dcterms:modified xsi:type="dcterms:W3CDTF">2024-03-11T18:13:50Z</dcterms:modified>
</cp:coreProperties>
</file>